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0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comments9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9600" yWindow="-15" windowWidth="9645" windowHeight="7110" tabRatio="964" activeTab="1"/>
  </bookViews>
  <sheets>
    <sheet name="SCI" sheetId="10" r:id="rId1"/>
    <sheet name="SOFP" sheetId="11" r:id="rId2"/>
    <sheet name="Statement of Changes in Equity" sheetId="12" r:id="rId3"/>
    <sheet name="Statement of Cash Flows" sheetId="13" r:id="rId4"/>
    <sheet name="ESOS movement" sheetId="17" state="hidden" r:id="rId5"/>
    <sheet name="conP&amp;L" sheetId="20" state="hidden" r:id="rId6"/>
    <sheet name="coated scrap sale" sheetId="26" state="hidden" r:id="rId7"/>
    <sheet name="Cont&amp;disconOp2003" sheetId="27" state="hidden" r:id="rId8"/>
    <sheet name="Disc ope " sheetId="25" state="hidden" r:id="rId9"/>
    <sheet name="CashFlow workingsDec 03" sheetId="18" state="hidden" r:id="rId10"/>
    <sheet name="shipment" sheetId="14" state="hidden" r:id="rId11"/>
    <sheet name="otherRev&amp;income&amp;FinCost" sheetId="21" state="hidden" r:id="rId12"/>
    <sheet name="ANSC-TB" sheetId="7" state="hidden" r:id="rId13"/>
    <sheet name="ANSC-BalSht0611" sheetId="8" state="hidden" r:id="rId14"/>
    <sheet name="Alcom-TB" sheetId="29" state="hidden" r:id="rId15"/>
    <sheet name="alcom-BalSht0611" sheetId="6" state="hidden" r:id="rId16"/>
    <sheet name="GroupBS" sheetId="4" state="hidden" r:id="rId17"/>
    <sheet name="Alcom" sheetId="30" state="hidden" r:id="rId18"/>
    <sheet name="ANSC" sheetId="31" state="hidden" r:id="rId19"/>
    <sheet name="ANRE0610" sheetId="28" state="hidden" r:id="rId20"/>
    <sheet name="Table" sheetId="32" state="hidden" r:id="rId21"/>
    <sheet name="Sheet1" sheetId="33" state="hidden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a">#REF!</definedName>
    <definedName name="\b">#REF!</definedName>
    <definedName name="\c">#REF!</definedName>
    <definedName name="\d">#N/A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#N/A</definedName>
    <definedName name="\PMT">#REF!</definedName>
    <definedName name="\r">#REF!</definedName>
    <definedName name="\t">#N/A</definedName>
    <definedName name="\v">#REF!</definedName>
    <definedName name="\w">#REF!</definedName>
    <definedName name="____EST1">#REF!</definedName>
    <definedName name="____EST2">#REF!</definedName>
    <definedName name="____EST3">#REF!</definedName>
    <definedName name="____JV12">'[1]Disposal - apr00'!#REF!</definedName>
    <definedName name="____JV25">#REF!</definedName>
    <definedName name="____JV26">#REF!</definedName>
    <definedName name="____JV31">#REF!</definedName>
    <definedName name="____JV33">#REF!</definedName>
    <definedName name="____JV34">#REF!</definedName>
    <definedName name="____JV35">#REF!</definedName>
    <definedName name="____JV36">#REF!</definedName>
    <definedName name="____JV4">'[1]Disposal - apr00'!#REF!</definedName>
    <definedName name="____JV40">#REF!</definedName>
    <definedName name="____JV401">#REF!</definedName>
    <definedName name="____JV41">#REF!</definedName>
    <definedName name="____JV411">#REF!</definedName>
    <definedName name="____JV42">#REF!</definedName>
    <definedName name="____JV421">#REF!</definedName>
    <definedName name="____JV43">#REF!</definedName>
    <definedName name="____JV431">#REF!</definedName>
    <definedName name="____JV44">#REF!</definedName>
    <definedName name="____JV441">#REF!</definedName>
    <definedName name="____JV5">'[1]Disposal - apr00'!#REF!</definedName>
    <definedName name="____JV6">'[1]Disposal - apr00'!#REF!</definedName>
    <definedName name="____mgt11">'[2]RCMI-15'!$A$1:$J$54</definedName>
    <definedName name="____PUR1">#REF!</definedName>
    <definedName name="____ROW1">#N/A</definedName>
    <definedName name="____SF96">#REF!</definedName>
    <definedName name="____SF97">#REF!</definedName>
    <definedName name="____SF98">#REF!</definedName>
    <definedName name="____spc1">'[3]Contr.,Time Delivery,Cus.Return'!$A$1:$K$97</definedName>
    <definedName name="____WP1">#REF!</definedName>
    <definedName name="____WP2">#REF!</definedName>
    <definedName name="___EST1">#REF!</definedName>
    <definedName name="___EST2">#REF!</definedName>
    <definedName name="___EST3">#REF!</definedName>
    <definedName name="___JV12">'[1]Disposal - apr00'!#REF!</definedName>
    <definedName name="___JV25">#REF!</definedName>
    <definedName name="___JV26">#REF!</definedName>
    <definedName name="___JV31">#REF!</definedName>
    <definedName name="___JV33">#REF!</definedName>
    <definedName name="___JV34">#REF!</definedName>
    <definedName name="___JV35">#REF!</definedName>
    <definedName name="___JV36">#REF!</definedName>
    <definedName name="___JV4">'[1]Disposal - apr00'!#REF!</definedName>
    <definedName name="___JV40">#REF!</definedName>
    <definedName name="___JV401">#REF!</definedName>
    <definedName name="___JV41">#REF!</definedName>
    <definedName name="___JV411">#REF!</definedName>
    <definedName name="___JV42">#REF!</definedName>
    <definedName name="___JV421">#REF!</definedName>
    <definedName name="___JV43">#REF!</definedName>
    <definedName name="___JV431">#REF!</definedName>
    <definedName name="___JV44">#REF!</definedName>
    <definedName name="___JV441">#REF!</definedName>
    <definedName name="___JV5">'[1]Disposal - apr00'!#REF!</definedName>
    <definedName name="___JV6">'[1]Disposal - apr00'!#REF!</definedName>
    <definedName name="___mgt11">'[2]RCMI-15'!$A$1:$J$54</definedName>
    <definedName name="___PUR1">#REF!</definedName>
    <definedName name="___ROW1">#N/A</definedName>
    <definedName name="___SF96">#REF!</definedName>
    <definedName name="___SF97">#REF!</definedName>
    <definedName name="___SF98">#REF!</definedName>
    <definedName name="___spc1">'[3]Contr.,Time Delivery,Cus.Return'!$A$1:$K$97</definedName>
    <definedName name="___WP1">#REF!</definedName>
    <definedName name="___WP2">#REF!</definedName>
    <definedName name="__123Graph_D" localSheetId="18" hidden="1">[4]analysis_alcom!#REF!</definedName>
    <definedName name="__123Graph_D" hidden="1">[4]analysis_alcom!#REF!</definedName>
    <definedName name="__EST1">#REF!</definedName>
    <definedName name="__EST2">#REF!</definedName>
    <definedName name="__EST3">#REF!</definedName>
    <definedName name="__JV12">'[1]Disposal - apr00'!#REF!</definedName>
    <definedName name="__JV25">#REF!</definedName>
    <definedName name="__JV26">#REF!</definedName>
    <definedName name="__JV31">#REF!</definedName>
    <definedName name="__JV33">#REF!</definedName>
    <definedName name="__JV34">#REF!</definedName>
    <definedName name="__JV35">#REF!</definedName>
    <definedName name="__JV36">#REF!</definedName>
    <definedName name="__JV4">'[1]Disposal - apr00'!#REF!</definedName>
    <definedName name="__JV40">#REF!</definedName>
    <definedName name="__JV401">#REF!</definedName>
    <definedName name="__JV41">#REF!</definedName>
    <definedName name="__JV411">#REF!</definedName>
    <definedName name="__JV42">#REF!</definedName>
    <definedName name="__JV421">#REF!</definedName>
    <definedName name="__JV43">#REF!</definedName>
    <definedName name="__JV431">#REF!</definedName>
    <definedName name="__JV44">#REF!</definedName>
    <definedName name="__JV441">#REF!</definedName>
    <definedName name="__JV5">'[1]Disposal - apr00'!#REF!</definedName>
    <definedName name="__JV6">'[1]Disposal - apr00'!#REF!</definedName>
    <definedName name="__mgt11">'[2]RCMI-15'!$A$1:$J$54</definedName>
    <definedName name="__PUR1">#REF!</definedName>
    <definedName name="__ROW1">#N/A</definedName>
    <definedName name="__SF96">#REF!</definedName>
    <definedName name="__SF97">#REF!</definedName>
    <definedName name="__SF98">#REF!</definedName>
    <definedName name="__spc1">'[3]Contr.,Time Delivery,Cus.Return'!$A$1:$K$97</definedName>
    <definedName name="__WP1">#REF!</definedName>
    <definedName name="__WP2">#REF!</definedName>
    <definedName name="_1">#REF!</definedName>
    <definedName name="_123">#REF!</definedName>
    <definedName name="_EST1">#REF!</definedName>
    <definedName name="_EST2">#REF!</definedName>
    <definedName name="_EST3">#REF!</definedName>
    <definedName name="_Fill" hidden="1">#REF!</definedName>
    <definedName name="_xlnm._FilterDatabase" localSheetId="17" hidden="1">Alcom!$A$1:$W$2403</definedName>
    <definedName name="_xlnm._FilterDatabase" localSheetId="14" hidden="1">'Alcom-TB'!$A$5:$G$234</definedName>
    <definedName name="_xlnm._FilterDatabase" localSheetId="18" hidden="1">ANSC!$A$1:$V$555</definedName>
    <definedName name="_xlnm._FilterDatabase" localSheetId="12" hidden="1">'ANSC-TB'!$A$5:$F$83</definedName>
    <definedName name="_JV12">'[1]Disposal - apr00'!#REF!</definedName>
    <definedName name="_JV25">#REF!</definedName>
    <definedName name="_JV26">#REF!</definedName>
    <definedName name="_JV31">#REF!</definedName>
    <definedName name="_JV33">#REF!</definedName>
    <definedName name="_JV34">#REF!</definedName>
    <definedName name="_JV35">#REF!</definedName>
    <definedName name="_JV36">#REF!</definedName>
    <definedName name="_JV4">'[1]Disposal - apr00'!#REF!</definedName>
    <definedName name="_JV40">#REF!</definedName>
    <definedName name="_JV401">#REF!</definedName>
    <definedName name="_JV41">#REF!</definedName>
    <definedName name="_JV411">#REF!</definedName>
    <definedName name="_JV42">#REF!</definedName>
    <definedName name="_JV421">#REF!</definedName>
    <definedName name="_JV43">#REF!</definedName>
    <definedName name="_JV431">#REF!</definedName>
    <definedName name="_JV44">#REF!</definedName>
    <definedName name="_JV441">#REF!</definedName>
    <definedName name="_JV5">'[1]Disposal - apr00'!#REF!</definedName>
    <definedName name="_JV6">'[1]Disposal - apr00'!#REF!</definedName>
    <definedName name="_Key1" hidden="1">#REF!</definedName>
    <definedName name="_Key2" hidden="1">#REF!</definedName>
    <definedName name="_mgt11">'[2]RCMI-15'!$A$1:$J$54</definedName>
    <definedName name="_Order1" hidden="1">255</definedName>
    <definedName name="_Order2" hidden="1">255</definedName>
    <definedName name="_PUR1">#REF!</definedName>
    <definedName name="_Regression_Int">1</definedName>
    <definedName name="_ROW1">#N/A</definedName>
    <definedName name="_SF96">#REF!</definedName>
    <definedName name="_SF97">#REF!</definedName>
    <definedName name="_SF98">#REF!</definedName>
    <definedName name="_Sort" hidden="1">#REF!</definedName>
    <definedName name="_spc1">'[3]Contr.,Time Delivery,Cus.Return'!$A$1:$K$97</definedName>
    <definedName name="_WP1">#REF!</definedName>
    <definedName name="_WP2">#REF!</definedName>
    <definedName name="A">#REF!</definedName>
    <definedName name="A_C1065">#N/A</definedName>
    <definedName name="A_C10651">'[5]asset addition 2000'!#REF!</definedName>
    <definedName name="AG">#REF!</definedName>
    <definedName name="B">#REF!</definedName>
    <definedName name="BALSHT">#N/A</definedName>
    <definedName name="BALSHT1">#N/A</definedName>
    <definedName name="body">#REF!</definedName>
    <definedName name="Breakeven">#REF!</definedName>
    <definedName name="BS">#REF!</definedName>
    <definedName name="C_">#N/A</definedName>
    <definedName name="CASGRAPH">'[6]PMR7&amp;8(W)'!#REF!</definedName>
    <definedName name="CASTER">#REF!</definedName>
    <definedName name="cb">#REF!</definedName>
    <definedName name="centre">#REF!</definedName>
    <definedName name="CL">#REF!</definedName>
    <definedName name="CM">#REF!</definedName>
    <definedName name="CO">#REF!</definedName>
    <definedName name="COATING">#REF!</definedName>
    <definedName name="COATINGS">#REF!</definedName>
    <definedName name="COGS">#REF!</definedName>
    <definedName name="COGS1">#REF!</definedName>
    <definedName name="COGS2">#REF!</definedName>
    <definedName name="COLDMILL">#REF!</definedName>
    <definedName name="COLDMILLS">#REF!</definedName>
    <definedName name="CONTR">#N/A</definedName>
    <definedName name="COSTSHEET">#REF!</definedName>
    <definedName name="COVER">#REF!</definedName>
    <definedName name="CS">#REF!</definedName>
    <definedName name="data">#REF!</definedName>
    <definedName name="_xlnm.Database">#REF!</definedName>
    <definedName name="date">Alcom!$K$2:$V$2</definedName>
    <definedName name="dccs">#REF!</definedName>
    <definedName name="DE">#REF!</definedName>
    <definedName name="Direct">#REF!</definedName>
    <definedName name="DISPOSAL">#N/A</definedName>
    <definedName name="DL">#REF!</definedName>
    <definedName name="DUTY">'[1]Disposal - apr00'!#REF!</definedName>
    <definedName name="END">#REF!</definedName>
    <definedName name="EST">#REF!</definedName>
    <definedName name="ETP">#REF!</definedName>
    <definedName name="EVA">#REF!</definedName>
    <definedName name="expenses">#REF!</definedName>
    <definedName name="EXPSHT">#REF!</definedName>
    <definedName name="_xlnm.Extract">#REF!</definedName>
    <definedName name="Extract_MI">#REF!</definedName>
    <definedName name="FF">#REF!</definedName>
    <definedName name="FirstDies">#REF!</definedName>
    <definedName name="FMA">#REF!</definedName>
    <definedName name="FMB">#REF!</definedName>
    <definedName name="FORM">#N/A</definedName>
    <definedName name="FORMAT">#REF!</definedName>
    <definedName name="Freight">#REF!</definedName>
    <definedName name="FX">#REF!</definedName>
    <definedName name="HOUR">#REF!</definedName>
    <definedName name="hrs">#REF!</definedName>
    <definedName name="INGBAL">#REF!</definedName>
    <definedName name="INGOT">#REF!</definedName>
    <definedName name="INGOT1">#REF!</definedName>
    <definedName name="inv">#REF!</definedName>
    <definedName name="JV">#REF!</definedName>
    <definedName name="Metal">#REF!</definedName>
    <definedName name="METALPLAN">#REF!</definedName>
    <definedName name="MONTH">#REF!</definedName>
    <definedName name="MRR">#REF!</definedName>
    <definedName name="MT">#N/A</definedName>
    <definedName name="MYR">#N/A</definedName>
    <definedName name="Nebit">#REF!</definedName>
    <definedName name="NLM">#REF!</definedName>
    <definedName name="NonOp">#REF!</definedName>
    <definedName name="OCT">#N/A</definedName>
    <definedName name="PE">#REF!</definedName>
    <definedName name="PER">#N/A</definedName>
    <definedName name="Period">#REF!</definedName>
    <definedName name="PMT">#REF!</definedName>
    <definedName name="PP">#REF!</definedName>
    <definedName name="PPT">#N/A</definedName>
    <definedName name="PRICE">#N/A</definedName>
    <definedName name="_xlnm.Print_Area" localSheetId="15">'alcom-BalSht0611'!$A$1:$G$81</definedName>
    <definedName name="_xlnm.Print_Area" localSheetId="19">ANRE0610!$A$22:$G$40</definedName>
    <definedName name="_xlnm.Print_Area" localSheetId="13">'ANSC-BalSht0611'!$A$1:$D$78</definedName>
    <definedName name="_xlnm.Print_Area" localSheetId="12">'ANSC-TB'!$A$6:$F$83</definedName>
    <definedName name="_xlnm.Print_Area" localSheetId="9">'CashFlow workingsDec 03'!$A$1:$S$54</definedName>
    <definedName name="_xlnm.Print_Area" localSheetId="6">'coated scrap sale'!$A$2:$I$13</definedName>
    <definedName name="_xlnm.Print_Area" localSheetId="5">'conP&amp;L'!$1:$36</definedName>
    <definedName name="_xlnm.Print_Area" localSheetId="7">'Cont&amp;disconOp2003'!$A$1:$AJ$75</definedName>
    <definedName name="_xlnm.Print_Area" localSheetId="8">'Disc ope '!$A$1:$AI$65</definedName>
    <definedName name="_xlnm.Print_Area" localSheetId="16">GroupBS!$A$1:$P$77</definedName>
    <definedName name="_xlnm.Print_Area" localSheetId="11">'otherRev&amp;income&amp;FinCost'!$A$1:$HC$43</definedName>
    <definedName name="_xlnm.Print_Area" localSheetId="10">shipment!$A$1:$AT$79</definedName>
    <definedName name="_xlnm.Print_Area" localSheetId="1">SOFP!$A$1:$D$51</definedName>
    <definedName name="_xlnm.Print_Area" localSheetId="3">'Statement of Cash Flows'!$B$1:$E$46</definedName>
    <definedName name="_xlnm.Print_Area" localSheetId="2">'Statement of Changes in Equity'!$A$1:$J$45</definedName>
    <definedName name="_xlnm.Print_Area">#N/A</definedName>
    <definedName name="Print_Area_MI" localSheetId="19">ANRE0610!$A$1:$J$41</definedName>
    <definedName name="Print_Area_MI">#REF!</definedName>
    <definedName name="_xlnm.Print_Titles" localSheetId="14">'Alcom-TB'!$3:$5</definedName>
    <definedName name="_xlnm.Print_Titles" localSheetId="12">'ANSC-TB'!$1:$5</definedName>
    <definedName name="_xlnm.Print_Titles" localSheetId="5">'conP&amp;L'!$A:$A</definedName>
    <definedName name="_xlnm.Print_Titles" localSheetId="11">'otherRev&amp;income&amp;FinCost'!$A:$A</definedName>
    <definedName name="_xlnm.Print_Titles" localSheetId="0">SCI!$A:$A</definedName>
    <definedName name="_xlnm.Print_Titles">#N/A</definedName>
    <definedName name="Print_Titles_MI">#REF!</definedName>
    <definedName name="PROD">#REF!</definedName>
    <definedName name="PUR">#REF!</definedName>
    <definedName name="purchases">#REF!</definedName>
    <definedName name="RECEIVED">#REF!</definedName>
    <definedName name="recovery">#REF!</definedName>
    <definedName name="Remelt">#REF!</definedName>
    <definedName name="REPORT">#N/A</definedName>
    <definedName name="REPORT1">#REF!</definedName>
    <definedName name="REPORT2">#REF!</definedName>
    <definedName name="RETURN">#N/A</definedName>
    <definedName name="Revenue">#REF!</definedName>
    <definedName name="REVPMT">#N/A</definedName>
    <definedName name="RM">#REF!</definedName>
    <definedName name="ROLLING">#REF!</definedName>
    <definedName name="ROW">#REF!</definedName>
    <definedName name="SAE">#REF!</definedName>
    <definedName name="SALE">#REF!</definedName>
    <definedName name="salemt">'[7]fg-17'!$B$59:$AI$112</definedName>
    <definedName name="salerm">'[7]fg-17'!$B$4:$AI$56</definedName>
    <definedName name="SALES">#REF!</definedName>
    <definedName name="SAMPLES">#N/A</definedName>
    <definedName name="SD">#REF!</definedName>
    <definedName name="SE">#REF!</definedName>
    <definedName name="SF">#REF!</definedName>
    <definedName name="SHIPVSC.B.">#REF!</definedName>
    <definedName name="SHIPVSPLAN">#REF!</definedName>
    <definedName name="SM">#REF!</definedName>
    <definedName name="SNOTE">#N/A</definedName>
    <definedName name="SNOTE1">#N/A</definedName>
    <definedName name="spc">#REF!</definedName>
    <definedName name="SUMMARY">#N/A</definedName>
    <definedName name="SWK">#N/A</definedName>
    <definedName name="SWKG">#N/A</definedName>
    <definedName name="SWKG1">#N/A</definedName>
    <definedName name="Technical">#REF!</definedName>
    <definedName name="TOP">#REF!</definedName>
    <definedName name="UFS">#N/A</definedName>
    <definedName name="VOLUME">#N/A</definedName>
    <definedName name="W">#REF!</definedName>
    <definedName name="wk">#REF!</definedName>
    <definedName name="WKG">#N/A</definedName>
    <definedName name="WORKING">#REF!</definedName>
    <definedName name="WORKING1">#REF!</definedName>
    <definedName name="WORKING2">#REF!</definedName>
    <definedName name="WORKING3">#REF!</definedName>
    <definedName name="WP">#REF!</definedName>
    <definedName name="WPB">#REF!</definedName>
    <definedName name="wrn.Estimate." hidden="1">{#N/A,#N/A,FALSE,"This month";#N/A,#N/A,FALSE,"Next month";#N/A,#N/A,FALSE,"Mth after next"}</definedName>
    <definedName name="wrn.Financial." hidden="1">{#N/A,#N/A,FALSE,"P&amp;L-Actual";#N/A,#N/A,FALSE,"Balsheet";#N/A,#N/A,FALSE,"Cash flow"}</definedName>
    <definedName name="wrn.sales." hidden="1">{#N/A,#N/A,FALSE,"sal-jan";#N/A,#N/A,FALSE,"sal-feb";#N/A,#N/A,FALSE,"sal-mar";#N/A,#N/A,FALSE,"sal-apr";#N/A,#N/A,FALSE,"sal-may";#N/A,#N/A,FALSE,"sal-jun";#N/A,#N/A,FALSE,"sal-jul";#N/A,#N/A,FALSE,"sal-aug";#N/A,#N/A,FALSE,"sal-sep";#N/A,#N/A,FALSE,"sal-oct";#N/A,#N/A,FALSE,"sal-nov";#N/A,#N/A,FALSE,"sal-dec";#N/A,#N/A,FALSE,"full year"}</definedName>
    <definedName name="내역">#REF!</definedName>
    <definedName name="박">#REF!</definedName>
  </definedNames>
  <calcPr calcId="125725"/>
</workbook>
</file>

<file path=xl/calcChain.xml><?xml version="1.0" encoding="utf-8"?>
<calcChain xmlns="http://schemas.openxmlformats.org/spreadsheetml/2006/main">
  <c r="D44" i="11"/>
  <c r="D46" s="1"/>
  <c r="D36"/>
  <c r="D37" s="1"/>
  <c r="D28"/>
  <c r="D22"/>
  <c r="D30" s="1"/>
  <c r="D39" s="1"/>
  <c r="D39" i="10" l="1"/>
  <c r="J56" i="21" l="1"/>
  <c r="I56"/>
  <c r="U74"/>
  <c r="U73"/>
  <c r="U72"/>
  <c r="U71"/>
  <c r="U70"/>
  <c r="U69"/>
  <c r="U68"/>
  <c r="U67"/>
  <c r="U66"/>
  <c r="U65"/>
  <c r="U75"/>
  <c r="U64"/>
  <c r="U53"/>
  <c r="U52"/>
  <c r="U51"/>
  <c r="U50"/>
  <c r="U49"/>
  <c r="U48"/>
  <c r="U47"/>
  <c r="U46"/>
  <c r="U54"/>
  <c r="U45"/>
  <c r="U41"/>
  <c r="U40"/>
  <c r="U39"/>
  <c r="U38"/>
  <c r="U37"/>
  <c r="U36"/>
  <c r="U35"/>
  <c r="U34"/>
  <c r="U33"/>
  <c r="U32"/>
  <c r="U31"/>
  <c r="U30"/>
  <c r="U29"/>
  <c r="U28"/>
  <c r="U42"/>
  <c r="U24"/>
  <c r="U20"/>
  <c r="U19"/>
  <c r="U18"/>
  <c r="U17"/>
  <c r="U16"/>
  <c r="U21" s="1"/>
  <c r="U13"/>
  <c r="U12"/>
  <c r="U11"/>
  <c r="U14" s="1"/>
  <c r="U22" s="1"/>
  <c r="U6"/>
  <c r="U5"/>
  <c r="U4"/>
  <c r="U7" s="1"/>
  <c r="F13" i="20"/>
  <c r="J13"/>
  <c r="J17"/>
  <c r="F21" i="21"/>
  <c r="G13" i="20"/>
  <c r="AC36"/>
  <c r="AF28"/>
  <c r="AF21"/>
  <c r="AD19"/>
  <c r="AD26" s="1"/>
  <c r="AD31" s="1"/>
  <c r="AA19"/>
  <c r="AA26"/>
  <c r="AA31" s="1"/>
  <c r="AE17"/>
  <c r="AF17" s="1"/>
  <c r="AF16"/>
  <c r="AF15"/>
  <c r="AF14"/>
  <c r="AE13"/>
  <c r="AF13" s="1"/>
  <c r="AF19" s="1"/>
  <c r="AF26" s="1"/>
  <c r="AF31" s="1"/>
  <c r="AF11"/>
  <c r="AB10"/>
  <c r="AB19"/>
  <c r="AB26" s="1"/>
  <c r="AB31" s="1"/>
  <c r="AF9"/>
  <c r="AF8"/>
  <c r="O53" i="4"/>
  <c r="B45" i="21"/>
  <c r="B16"/>
  <c r="C36"/>
  <c r="AF10" i="20"/>
  <c r="P61" i="4"/>
  <c r="P12"/>
  <c r="P8"/>
  <c r="P57"/>
  <c r="P10"/>
  <c r="I77"/>
  <c r="I59"/>
  <c r="I76" s="1"/>
  <c r="I24"/>
  <c r="I39"/>
  <c r="I27"/>
  <c r="I41"/>
  <c r="I42" s="1"/>
  <c r="A92" i="6"/>
  <c r="A93"/>
  <c r="A94"/>
  <c r="A95"/>
  <c r="A96"/>
  <c r="A97"/>
  <c r="G29"/>
  <c r="B1" i="21"/>
  <c r="O36" i="20"/>
  <c r="R28"/>
  <c r="R21"/>
  <c r="Q19"/>
  <c r="Q26" s="1"/>
  <c r="Q31" s="1"/>
  <c r="P19"/>
  <c r="P26"/>
  <c r="P31" s="1"/>
  <c r="N19"/>
  <c r="N26" s="1"/>
  <c r="N31" s="1"/>
  <c r="M19"/>
  <c r="M26"/>
  <c r="M31" s="1"/>
  <c r="R17"/>
  <c r="R16"/>
  <c r="R15"/>
  <c r="R14"/>
  <c r="R13"/>
  <c r="R11"/>
  <c r="R10"/>
  <c r="R19" s="1"/>
  <c r="R26" s="1"/>
  <c r="R31" s="1"/>
  <c r="R9"/>
  <c r="R8"/>
  <c r="AJ36"/>
  <c r="AM28"/>
  <c r="AM21"/>
  <c r="AK19"/>
  <c r="AK26"/>
  <c r="AK31" s="1"/>
  <c r="AL17"/>
  <c r="AM17" s="1"/>
  <c r="AM16"/>
  <c r="AM15"/>
  <c r="AM14"/>
  <c r="AL13"/>
  <c r="AL19" s="1"/>
  <c r="AL26" s="1"/>
  <c r="AL31" s="1"/>
  <c r="AI13"/>
  <c r="AI19" s="1"/>
  <c r="AI26" s="1"/>
  <c r="AI31" s="1"/>
  <c r="AH13"/>
  <c r="AH19"/>
  <c r="AH26" s="1"/>
  <c r="AH31" s="1"/>
  <c r="AM11"/>
  <c r="AM10"/>
  <c r="AM9"/>
  <c r="AM8"/>
  <c r="E59" i="14"/>
  <c r="D59"/>
  <c r="C59"/>
  <c r="E58"/>
  <c r="D58"/>
  <c r="C58"/>
  <c r="D50"/>
  <c r="E39"/>
  <c r="E53" s="1"/>
  <c r="D39"/>
  <c r="D53" s="1"/>
  <c r="C39"/>
  <c r="C53" s="1"/>
  <c r="E38"/>
  <c r="E52"/>
  <c r="D38"/>
  <c r="D52" s="1"/>
  <c r="C38"/>
  <c r="C52" s="1"/>
  <c r="E37"/>
  <c r="E51" s="1"/>
  <c r="D37"/>
  <c r="D51"/>
  <c r="C37"/>
  <c r="C51" s="1"/>
  <c r="E36"/>
  <c r="E50" s="1"/>
  <c r="E54" s="1"/>
  <c r="D36"/>
  <c r="C36"/>
  <c r="C50" s="1"/>
  <c r="C54" s="1"/>
  <c r="E35"/>
  <c r="E47"/>
  <c r="D35"/>
  <c r="D47"/>
  <c r="C35"/>
  <c r="C47"/>
  <c r="E34"/>
  <c r="E46"/>
  <c r="E48" s="1"/>
  <c r="D34"/>
  <c r="D46" s="1"/>
  <c r="C34"/>
  <c r="C46" s="1"/>
  <c r="C48" s="1"/>
  <c r="E31"/>
  <c r="D31"/>
  <c r="C31"/>
  <c r="E12"/>
  <c r="D12"/>
  <c r="C12"/>
  <c r="J59"/>
  <c r="I59"/>
  <c r="H59"/>
  <c r="G59"/>
  <c r="J58"/>
  <c r="I58"/>
  <c r="H58"/>
  <c r="G58"/>
  <c r="J39"/>
  <c r="J53"/>
  <c r="I39"/>
  <c r="I53"/>
  <c r="H39"/>
  <c r="H53"/>
  <c r="G39"/>
  <c r="G53"/>
  <c r="J38"/>
  <c r="J52"/>
  <c r="I38"/>
  <c r="I52"/>
  <c r="H38"/>
  <c r="H52"/>
  <c r="G38"/>
  <c r="G52"/>
  <c r="J37"/>
  <c r="J51"/>
  <c r="I37"/>
  <c r="I51"/>
  <c r="H37"/>
  <c r="H51"/>
  <c r="G37"/>
  <c r="G51"/>
  <c r="J36"/>
  <c r="J50"/>
  <c r="J54" s="1"/>
  <c r="I36"/>
  <c r="I50" s="1"/>
  <c r="I54" s="1"/>
  <c r="H36"/>
  <c r="H50"/>
  <c r="H54" s="1"/>
  <c r="G36"/>
  <c r="G50" s="1"/>
  <c r="G54" s="1"/>
  <c r="G66" s="1"/>
  <c r="J35"/>
  <c r="J47" s="1"/>
  <c r="I35"/>
  <c r="I47" s="1"/>
  <c r="H35"/>
  <c r="H47" s="1"/>
  <c r="G35"/>
  <c r="G47" s="1"/>
  <c r="J34"/>
  <c r="J46" s="1"/>
  <c r="J48" s="1"/>
  <c r="I34"/>
  <c r="I46"/>
  <c r="H34"/>
  <c r="H46" s="1"/>
  <c r="H48" s="1"/>
  <c r="G34"/>
  <c r="G46"/>
  <c r="G48" s="1"/>
  <c r="J31"/>
  <c r="I31"/>
  <c r="H31"/>
  <c r="G31"/>
  <c r="J12"/>
  <c r="I12"/>
  <c r="H12"/>
  <c r="G12"/>
  <c r="G5" i="7"/>
  <c r="A242" i="31"/>
  <c r="D242"/>
  <c r="C242" s="1"/>
  <c r="B242" s="1"/>
  <c r="A243"/>
  <c r="D243"/>
  <c r="C243" s="1"/>
  <c r="B243" s="1"/>
  <c r="A244"/>
  <c r="D244"/>
  <c r="C244" s="1"/>
  <c r="B244" s="1"/>
  <c r="A245"/>
  <c r="D245"/>
  <c r="C245" s="1"/>
  <c r="B245" s="1"/>
  <c r="A246"/>
  <c r="D246"/>
  <c r="C246" s="1"/>
  <c r="B246" s="1"/>
  <c r="A247"/>
  <c r="D247"/>
  <c r="C247" s="1"/>
  <c r="B247" s="1"/>
  <c r="A2092" i="30"/>
  <c r="D2092"/>
  <c r="C2092" s="1"/>
  <c r="B2092" s="1"/>
  <c r="A2093"/>
  <c r="D2093"/>
  <c r="C2093" s="1"/>
  <c r="B2093" s="1"/>
  <c r="A2094"/>
  <c r="D2094"/>
  <c r="C2094" s="1"/>
  <c r="B2094" s="1"/>
  <c r="A2095"/>
  <c r="D2095"/>
  <c r="C2095" s="1"/>
  <c r="B2095" s="1"/>
  <c r="A2096"/>
  <c r="D2096"/>
  <c r="C2096" s="1"/>
  <c r="B2096" s="1"/>
  <c r="A2097"/>
  <c r="D2097"/>
  <c r="C2097" s="1"/>
  <c r="B2097" s="1"/>
  <c r="A2098"/>
  <c r="D2098"/>
  <c r="C2098" s="1"/>
  <c r="B2098" s="1"/>
  <c r="A2099"/>
  <c r="D2099"/>
  <c r="C2099" s="1"/>
  <c r="B2099" s="1"/>
  <c r="A2100"/>
  <c r="D2100"/>
  <c r="C2100" s="1"/>
  <c r="B2100" s="1"/>
  <c r="A2101"/>
  <c r="D2101"/>
  <c r="C2101" s="1"/>
  <c r="B2101" s="1"/>
  <c r="A2102"/>
  <c r="D2102"/>
  <c r="C2102" s="1"/>
  <c r="B2102" s="1"/>
  <c r="A2103"/>
  <c r="D2103"/>
  <c r="C2103" s="1"/>
  <c r="B2103" s="1"/>
  <c r="A2104"/>
  <c r="D2104"/>
  <c r="C2104" s="1"/>
  <c r="B2104" s="1"/>
  <c r="A2105"/>
  <c r="D2105"/>
  <c r="C2105" s="1"/>
  <c r="B2105" s="1"/>
  <c r="A2106"/>
  <c r="D2106"/>
  <c r="C2106" s="1"/>
  <c r="B2106" s="1"/>
  <c r="A2107"/>
  <c r="D2107"/>
  <c r="C2107" s="1"/>
  <c r="B2107" s="1"/>
  <c r="A2108"/>
  <c r="D2108"/>
  <c r="C2108" s="1"/>
  <c r="B2108" s="1"/>
  <c r="A2109"/>
  <c r="D2109"/>
  <c r="C2109" s="1"/>
  <c r="B2109" s="1"/>
  <c r="A2110"/>
  <c r="D2110"/>
  <c r="C2110" s="1"/>
  <c r="B2110" s="1"/>
  <c r="A2111"/>
  <c r="D2111"/>
  <c r="C2111" s="1"/>
  <c r="B2111" s="1"/>
  <c r="A2112"/>
  <c r="D2112"/>
  <c r="C2112" s="1"/>
  <c r="B2112" s="1"/>
  <c r="A2113"/>
  <c r="D2113"/>
  <c r="C2113" s="1"/>
  <c r="B2113" s="1"/>
  <c r="A2114"/>
  <c r="D2114"/>
  <c r="C2114" s="1"/>
  <c r="B2114" s="1"/>
  <c r="A2115"/>
  <c r="D2115"/>
  <c r="C2115" s="1"/>
  <c r="B2115" s="1"/>
  <c r="A2116"/>
  <c r="D2116"/>
  <c r="C2116" s="1"/>
  <c r="B2116" s="1"/>
  <c r="A2117"/>
  <c r="D2117"/>
  <c r="C2117" s="1"/>
  <c r="B2117" s="1"/>
  <c r="A2118"/>
  <c r="D2118"/>
  <c r="C2118" s="1"/>
  <c r="B2118" s="1"/>
  <c r="A2119"/>
  <c r="D2119"/>
  <c r="C2119" s="1"/>
  <c r="B2119" s="1"/>
  <c r="A2120"/>
  <c r="D2120"/>
  <c r="C2120" s="1"/>
  <c r="B2120" s="1"/>
  <c r="A2121"/>
  <c r="D2121"/>
  <c r="C2121" s="1"/>
  <c r="B2121" s="1"/>
  <c r="A2122"/>
  <c r="D2122"/>
  <c r="C2122" s="1"/>
  <c r="B2122" s="1"/>
  <c r="A2123"/>
  <c r="D2123"/>
  <c r="C2123" s="1"/>
  <c r="B2123" s="1"/>
  <c r="A2124"/>
  <c r="D2124"/>
  <c r="C2124" s="1"/>
  <c r="B2124" s="1"/>
  <c r="A2125"/>
  <c r="D2125"/>
  <c r="C2125" s="1"/>
  <c r="B2125" s="1"/>
  <c r="A2126"/>
  <c r="D2126"/>
  <c r="C2126" s="1"/>
  <c r="B2126" s="1"/>
  <c r="A2127"/>
  <c r="D2127"/>
  <c r="C2127" s="1"/>
  <c r="B2127" s="1"/>
  <c r="A2128"/>
  <c r="D2128"/>
  <c r="C2128" s="1"/>
  <c r="B2128" s="1"/>
  <c r="A2129"/>
  <c r="D2129"/>
  <c r="C2129" s="1"/>
  <c r="B2129" s="1"/>
  <c r="A2130"/>
  <c r="D2130"/>
  <c r="C2130" s="1"/>
  <c r="B2130" s="1"/>
  <c r="A2131"/>
  <c r="D2131"/>
  <c r="C2131" s="1"/>
  <c r="B2131" s="1"/>
  <c r="A2132"/>
  <c r="D2132"/>
  <c r="C2132" s="1"/>
  <c r="B2132" s="1"/>
  <c r="A2133"/>
  <c r="D2133"/>
  <c r="C2133" s="1"/>
  <c r="B2133" s="1"/>
  <c r="A2134"/>
  <c r="D2134"/>
  <c r="C2134" s="1"/>
  <c r="B2134" s="1"/>
  <c r="A2135"/>
  <c r="D2135"/>
  <c r="C2135" s="1"/>
  <c r="B2135" s="1"/>
  <c r="A2136"/>
  <c r="D2136"/>
  <c r="C2136" s="1"/>
  <c r="B2136" s="1"/>
  <c r="A2137"/>
  <c r="D2137"/>
  <c r="C2137" s="1"/>
  <c r="B2137" s="1"/>
  <c r="A2138"/>
  <c r="D2138"/>
  <c r="C2138" s="1"/>
  <c r="B2138" s="1"/>
  <c r="A2139"/>
  <c r="D2139"/>
  <c r="C2139" s="1"/>
  <c r="B2139" s="1"/>
  <c r="A2140"/>
  <c r="D2140"/>
  <c r="C2140" s="1"/>
  <c r="B2140" s="1"/>
  <c r="A2141"/>
  <c r="D2141"/>
  <c r="C2141" s="1"/>
  <c r="B2141" s="1"/>
  <c r="A2142"/>
  <c r="D2142"/>
  <c r="C2142" s="1"/>
  <c r="B2142" s="1"/>
  <c r="A2143"/>
  <c r="D2143"/>
  <c r="C2143" s="1"/>
  <c r="B2143" s="1"/>
  <c r="A2144"/>
  <c r="D2144"/>
  <c r="C2144" s="1"/>
  <c r="B2144" s="1"/>
  <c r="A2145"/>
  <c r="D2145"/>
  <c r="C2145" s="1"/>
  <c r="B2145" s="1"/>
  <c r="A2146"/>
  <c r="D2146"/>
  <c r="C2146" s="1"/>
  <c r="B2146" s="1"/>
  <c r="A2147"/>
  <c r="D2147"/>
  <c r="C2147" s="1"/>
  <c r="B2147" s="1"/>
  <c r="A2148"/>
  <c r="D2148"/>
  <c r="C2148" s="1"/>
  <c r="B2148" s="1"/>
  <c r="A2149"/>
  <c r="D2149"/>
  <c r="C2149" s="1"/>
  <c r="B2149" s="1"/>
  <c r="A2150"/>
  <c r="D2150"/>
  <c r="C2150" s="1"/>
  <c r="B2150" s="1"/>
  <c r="A2151"/>
  <c r="D2151"/>
  <c r="C2151" s="1"/>
  <c r="B2151" s="1"/>
  <c r="A2152"/>
  <c r="D2152"/>
  <c r="C2152" s="1"/>
  <c r="B2152" s="1"/>
  <c r="A2153"/>
  <c r="D2153"/>
  <c r="C2153" s="1"/>
  <c r="B2153" s="1"/>
  <c r="A2154"/>
  <c r="D2154"/>
  <c r="C2154" s="1"/>
  <c r="B2154" s="1"/>
  <c r="A2155"/>
  <c r="D2155"/>
  <c r="C2155" s="1"/>
  <c r="B2155" s="1"/>
  <c r="A2156"/>
  <c r="D2156"/>
  <c r="C2156" s="1"/>
  <c r="B2156" s="1"/>
  <c r="A2157"/>
  <c r="D2157"/>
  <c r="C2157" s="1"/>
  <c r="B2157" s="1"/>
  <c r="A2158"/>
  <c r="D2158"/>
  <c r="C2158" s="1"/>
  <c r="B2158" s="1"/>
  <c r="A2159"/>
  <c r="D2159"/>
  <c r="C2159" s="1"/>
  <c r="B2159" s="1"/>
  <c r="A2160"/>
  <c r="D2160"/>
  <c r="C2160" s="1"/>
  <c r="B2160" s="1"/>
  <c r="A2161"/>
  <c r="D2161"/>
  <c r="C2161" s="1"/>
  <c r="B2161" s="1"/>
  <c r="A2162"/>
  <c r="D2162"/>
  <c r="C2162" s="1"/>
  <c r="B2162" s="1"/>
  <c r="A2163"/>
  <c r="D2163"/>
  <c r="C2163" s="1"/>
  <c r="B2163" s="1"/>
  <c r="A2164"/>
  <c r="D2164"/>
  <c r="C2164" s="1"/>
  <c r="B2164" s="1"/>
  <c r="A2165"/>
  <c r="D2165"/>
  <c r="C2165" s="1"/>
  <c r="B2165" s="1"/>
  <c r="H8" i="4"/>
  <c r="H7"/>
  <c r="N73" i="21"/>
  <c r="N72"/>
  <c r="N68"/>
  <c r="N67"/>
  <c r="N53"/>
  <c r="N52"/>
  <c r="N51"/>
  <c r="N50"/>
  <c r="N49"/>
  <c r="N48"/>
  <c r="N47"/>
  <c r="N46"/>
  <c r="N45"/>
  <c r="N54"/>
  <c r="N41"/>
  <c r="N74"/>
  <c r="N40"/>
  <c r="N39"/>
  <c r="N37"/>
  <c r="N33"/>
  <c r="N32"/>
  <c r="N30"/>
  <c r="N28"/>
  <c r="N19"/>
  <c r="N18"/>
  <c r="N17"/>
  <c r="N16"/>
  <c r="N6"/>
  <c r="AQ36" i="20"/>
  <c r="AT28"/>
  <c r="AT21"/>
  <c r="AR19"/>
  <c r="AR26"/>
  <c r="AR31" s="1"/>
  <c r="AS17"/>
  <c r="AT17"/>
  <c r="AT16"/>
  <c r="AT15"/>
  <c r="AT14"/>
  <c r="AS13"/>
  <c r="AS19" s="1"/>
  <c r="AS26" s="1"/>
  <c r="AS31" s="1"/>
  <c r="AP13"/>
  <c r="AO13"/>
  <c r="AT13" s="1"/>
  <c r="AT11"/>
  <c r="AT10"/>
  <c r="AT9"/>
  <c r="AT8"/>
  <c r="H36"/>
  <c r="K28"/>
  <c r="K21"/>
  <c r="I19"/>
  <c r="I26" s="1"/>
  <c r="I31" s="1"/>
  <c r="K17"/>
  <c r="K16"/>
  <c r="K15"/>
  <c r="K14"/>
  <c r="J19"/>
  <c r="J26"/>
  <c r="J31" s="1"/>
  <c r="K13"/>
  <c r="F19"/>
  <c r="F26"/>
  <c r="F31" s="1"/>
  <c r="K11"/>
  <c r="K10"/>
  <c r="K9"/>
  <c r="K8"/>
  <c r="AX36"/>
  <c r="BA28"/>
  <c r="BA21"/>
  <c r="AY19"/>
  <c r="AY26"/>
  <c r="AY31" s="1"/>
  <c r="AZ17"/>
  <c r="BA17"/>
  <c r="BA16"/>
  <c r="BA15"/>
  <c r="BA14"/>
  <c r="AZ13"/>
  <c r="AZ19" s="1"/>
  <c r="AZ26" s="1"/>
  <c r="AZ31" s="1"/>
  <c r="AW13"/>
  <c r="BA13" s="1"/>
  <c r="BA19" s="1"/>
  <c r="BA26" s="1"/>
  <c r="BA31" s="1"/>
  <c r="AV13"/>
  <c r="AV19"/>
  <c r="AV26" s="1"/>
  <c r="AV31" s="1"/>
  <c r="BA11"/>
  <c r="BA10"/>
  <c r="BA9"/>
  <c r="BA8"/>
  <c r="G19"/>
  <c r="G26"/>
  <c r="G31" s="1"/>
  <c r="W38" i="21"/>
  <c r="P29" i="33"/>
  <c r="P28"/>
  <c r="P27"/>
  <c r="P26"/>
  <c r="P25"/>
  <c r="P24"/>
  <c r="P23"/>
  <c r="P22"/>
  <c r="P21"/>
  <c r="P20"/>
  <c r="P19"/>
  <c r="P18"/>
  <c r="P17"/>
  <c r="P16"/>
  <c r="P15"/>
  <c r="O29"/>
  <c r="O28"/>
  <c r="O27"/>
  <c r="O26"/>
  <c r="O25"/>
  <c r="O24"/>
  <c r="O23"/>
  <c r="O22"/>
  <c r="O21"/>
  <c r="O20"/>
  <c r="O19"/>
  <c r="O18"/>
  <c r="O17"/>
  <c r="O16"/>
  <c r="O15"/>
  <c r="N29"/>
  <c r="N28"/>
  <c r="N27"/>
  <c r="N26"/>
  <c r="N25"/>
  <c r="N24"/>
  <c r="N23"/>
  <c r="N22"/>
  <c r="N21"/>
  <c r="N20"/>
  <c r="N19"/>
  <c r="N18"/>
  <c r="N17"/>
  <c r="N16"/>
  <c r="N15"/>
  <c r="F11"/>
  <c r="M29"/>
  <c r="L29"/>
  <c r="K29"/>
  <c r="J29"/>
  <c r="I29"/>
  <c r="H29"/>
  <c r="M28"/>
  <c r="L28"/>
  <c r="K28"/>
  <c r="J28"/>
  <c r="I28"/>
  <c r="H28"/>
  <c r="M27"/>
  <c r="L27"/>
  <c r="K27"/>
  <c r="J27"/>
  <c r="I27"/>
  <c r="H27"/>
  <c r="M26"/>
  <c r="L26"/>
  <c r="K26"/>
  <c r="J26"/>
  <c r="I26"/>
  <c r="H26"/>
  <c r="M25"/>
  <c r="L25"/>
  <c r="K25"/>
  <c r="J25"/>
  <c r="I25"/>
  <c r="H25"/>
  <c r="M24"/>
  <c r="L24"/>
  <c r="K24"/>
  <c r="J24"/>
  <c r="I24"/>
  <c r="H24"/>
  <c r="M23"/>
  <c r="L23"/>
  <c r="K23"/>
  <c r="J23"/>
  <c r="I23"/>
  <c r="H23"/>
  <c r="M22"/>
  <c r="L22"/>
  <c r="K22"/>
  <c r="J22"/>
  <c r="I22"/>
  <c r="H22"/>
  <c r="M21"/>
  <c r="L21"/>
  <c r="K21"/>
  <c r="J21"/>
  <c r="I21"/>
  <c r="H21"/>
  <c r="M20"/>
  <c r="L20"/>
  <c r="K20"/>
  <c r="J20"/>
  <c r="I20"/>
  <c r="H20"/>
  <c r="M19"/>
  <c r="L19"/>
  <c r="K19"/>
  <c r="J19"/>
  <c r="I19"/>
  <c r="H19"/>
  <c r="M18"/>
  <c r="L18"/>
  <c r="K18"/>
  <c r="J18"/>
  <c r="I18"/>
  <c r="H18"/>
  <c r="M17"/>
  <c r="L17"/>
  <c r="K17"/>
  <c r="J17"/>
  <c r="I17"/>
  <c r="H17"/>
  <c r="M16"/>
  <c r="L16"/>
  <c r="K16"/>
  <c r="J16"/>
  <c r="I16"/>
  <c r="H16"/>
  <c r="M15"/>
  <c r="M30" s="1"/>
  <c r="L15"/>
  <c r="L30" s="1"/>
  <c r="K15"/>
  <c r="K30" s="1"/>
  <c r="J15"/>
  <c r="J30" s="1"/>
  <c r="I15"/>
  <c r="I30" s="1"/>
  <c r="H15"/>
  <c r="H30" s="1"/>
  <c r="E75" i="21"/>
  <c r="D75"/>
  <c r="C74"/>
  <c r="B74"/>
  <c r="C73"/>
  <c r="B73"/>
  <c r="G73" s="1"/>
  <c r="C71"/>
  <c r="C70"/>
  <c r="C68"/>
  <c r="B68"/>
  <c r="C67"/>
  <c r="B67"/>
  <c r="C65"/>
  <c r="C64"/>
  <c r="B64"/>
  <c r="E54"/>
  <c r="D54"/>
  <c r="C54"/>
  <c r="B54"/>
  <c r="G53"/>
  <c r="G52"/>
  <c r="G51"/>
  <c r="G50"/>
  <c r="G49"/>
  <c r="G48"/>
  <c r="G47"/>
  <c r="G46"/>
  <c r="G45"/>
  <c r="G54" s="1"/>
  <c r="E42"/>
  <c r="D42"/>
  <c r="G41"/>
  <c r="G40"/>
  <c r="G37"/>
  <c r="G33"/>
  <c r="G32"/>
  <c r="G30"/>
  <c r="G28"/>
  <c r="E24"/>
  <c r="D24"/>
  <c r="E21"/>
  <c r="E22"/>
  <c r="D21"/>
  <c r="D22"/>
  <c r="B21"/>
  <c r="G19"/>
  <c r="G18"/>
  <c r="G17"/>
  <c r="G16"/>
  <c r="E14"/>
  <c r="D14"/>
  <c r="E7"/>
  <c r="D7"/>
  <c r="G6"/>
  <c r="D4" i="31"/>
  <c r="C4" s="1"/>
  <c r="B4" s="1"/>
  <c r="D5"/>
  <c r="C5" s="1"/>
  <c r="B5" s="1"/>
  <c r="D6"/>
  <c r="C6" s="1"/>
  <c r="B6" s="1"/>
  <c r="D7"/>
  <c r="C7" s="1"/>
  <c r="B7" s="1"/>
  <c r="D8"/>
  <c r="C8" s="1"/>
  <c r="B8" s="1"/>
  <c r="D9"/>
  <c r="C9" s="1"/>
  <c r="B9" s="1"/>
  <c r="D10"/>
  <c r="C10" s="1"/>
  <c r="B10" s="1"/>
  <c r="D11"/>
  <c r="C11" s="1"/>
  <c r="B11" s="1"/>
  <c r="D12"/>
  <c r="C12" s="1"/>
  <c r="B12" s="1"/>
  <c r="D13"/>
  <c r="C13" s="1"/>
  <c r="B13" s="1"/>
  <c r="D14"/>
  <c r="C14" s="1"/>
  <c r="B14" s="1"/>
  <c r="D15"/>
  <c r="C15" s="1"/>
  <c r="B15" s="1"/>
  <c r="D16"/>
  <c r="C16" s="1"/>
  <c r="B16" s="1"/>
  <c r="D17"/>
  <c r="C17" s="1"/>
  <c r="B17" s="1"/>
  <c r="D18"/>
  <c r="C18" s="1"/>
  <c r="B18" s="1"/>
  <c r="D19"/>
  <c r="C19" s="1"/>
  <c r="B19" s="1"/>
  <c r="D20"/>
  <c r="C20" s="1"/>
  <c r="B20" s="1"/>
  <c r="D21"/>
  <c r="C21" s="1"/>
  <c r="B21" s="1"/>
  <c r="D22"/>
  <c r="C22" s="1"/>
  <c r="B22" s="1"/>
  <c r="D23"/>
  <c r="C23" s="1"/>
  <c r="B23" s="1"/>
  <c r="D24"/>
  <c r="C24" s="1"/>
  <c r="B24" s="1"/>
  <c r="D25"/>
  <c r="C25" s="1"/>
  <c r="B25" s="1"/>
  <c r="D26"/>
  <c r="C26" s="1"/>
  <c r="B26" s="1"/>
  <c r="D27"/>
  <c r="C27" s="1"/>
  <c r="B27" s="1"/>
  <c r="D28"/>
  <c r="C28" s="1"/>
  <c r="B28" s="1"/>
  <c r="D29"/>
  <c r="C29" s="1"/>
  <c r="B29" s="1"/>
  <c r="D30"/>
  <c r="C30" s="1"/>
  <c r="B30" s="1"/>
  <c r="D31"/>
  <c r="C31" s="1"/>
  <c r="B31" s="1"/>
  <c r="D32"/>
  <c r="C32" s="1"/>
  <c r="B32" s="1"/>
  <c r="D33"/>
  <c r="C33" s="1"/>
  <c r="B33" s="1"/>
  <c r="D34"/>
  <c r="C34" s="1"/>
  <c r="B34" s="1"/>
  <c r="D35"/>
  <c r="C35" s="1"/>
  <c r="B35" s="1"/>
  <c r="D36"/>
  <c r="C36" s="1"/>
  <c r="B36" s="1"/>
  <c r="D37"/>
  <c r="C37" s="1"/>
  <c r="B37" s="1"/>
  <c r="D38"/>
  <c r="C38" s="1"/>
  <c r="B38" s="1"/>
  <c r="D39"/>
  <c r="C39" s="1"/>
  <c r="B39" s="1"/>
  <c r="D40"/>
  <c r="C40" s="1"/>
  <c r="B40" s="1"/>
  <c r="D41"/>
  <c r="C41" s="1"/>
  <c r="B41" s="1"/>
  <c r="D42"/>
  <c r="C42" s="1"/>
  <c r="B42" s="1"/>
  <c r="D43"/>
  <c r="C43" s="1"/>
  <c r="B43" s="1"/>
  <c r="D44"/>
  <c r="C44" s="1"/>
  <c r="B44" s="1"/>
  <c r="D45"/>
  <c r="C45" s="1"/>
  <c r="B45" s="1"/>
  <c r="D46"/>
  <c r="C46" s="1"/>
  <c r="B46" s="1"/>
  <c r="D47"/>
  <c r="C47" s="1"/>
  <c r="B47" s="1"/>
  <c r="D48"/>
  <c r="C48" s="1"/>
  <c r="B48" s="1"/>
  <c r="D49"/>
  <c r="C49" s="1"/>
  <c r="B49" s="1"/>
  <c r="D50"/>
  <c r="C50" s="1"/>
  <c r="B50" s="1"/>
  <c r="D51"/>
  <c r="C51" s="1"/>
  <c r="B51" s="1"/>
  <c r="D52"/>
  <c r="C52" s="1"/>
  <c r="B52" s="1"/>
  <c r="D53"/>
  <c r="C53" s="1"/>
  <c r="B53" s="1"/>
  <c r="D54"/>
  <c r="C54" s="1"/>
  <c r="B54" s="1"/>
  <c r="D55"/>
  <c r="C55" s="1"/>
  <c r="B55" s="1"/>
  <c r="D56"/>
  <c r="C56" s="1"/>
  <c r="B56" s="1"/>
  <c r="D57"/>
  <c r="C57" s="1"/>
  <c r="B57" s="1"/>
  <c r="D58"/>
  <c r="C58" s="1"/>
  <c r="B58" s="1"/>
  <c r="D59"/>
  <c r="C59" s="1"/>
  <c r="B59" s="1"/>
  <c r="D60"/>
  <c r="C60" s="1"/>
  <c r="B60" s="1"/>
  <c r="D61"/>
  <c r="C61" s="1"/>
  <c r="B61" s="1"/>
  <c r="D62"/>
  <c r="C62" s="1"/>
  <c r="B62" s="1"/>
  <c r="D63"/>
  <c r="C63" s="1"/>
  <c r="B63" s="1"/>
  <c r="D64"/>
  <c r="C64" s="1"/>
  <c r="B64" s="1"/>
  <c r="D65"/>
  <c r="C65" s="1"/>
  <c r="B65" s="1"/>
  <c r="D66"/>
  <c r="C66" s="1"/>
  <c r="B66" s="1"/>
  <c r="D67"/>
  <c r="C67" s="1"/>
  <c r="B67" s="1"/>
  <c r="D68"/>
  <c r="C68" s="1"/>
  <c r="B68" s="1"/>
  <c r="D69"/>
  <c r="C69" s="1"/>
  <c r="B69" s="1"/>
  <c r="D70"/>
  <c r="C70" s="1"/>
  <c r="B70" s="1"/>
  <c r="D71"/>
  <c r="C71" s="1"/>
  <c r="B71" s="1"/>
  <c r="D72"/>
  <c r="C72" s="1"/>
  <c r="B72" s="1"/>
  <c r="D73"/>
  <c r="C73" s="1"/>
  <c r="B73" s="1"/>
  <c r="D74"/>
  <c r="C74" s="1"/>
  <c r="B74" s="1"/>
  <c r="D75"/>
  <c r="C75" s="1"/>
  <c r="B75" s="1"/>
  <c r="D76"/>
  <c r="C76" s="1"/>
  <c r="B76" s="1"/>
  <c r="D77"/>
  <c r="C77" s="1"/>
  <c r="B77" s="1"/>
  <c r="D78"/>
  <c r="C78" s="1"/>
  <c r="B78" s="1"/>
  <c r="D79"/>
  <c r="C79" s="1"/>
  <c r="B79" s="1"/>
  <c r="D80"/>
  <c r="C80" s="1"/>
  <c r="B80" s="1"/>
  <c r="D81"/>
  <c r="C81" s="1"/>
  <c r="B81" s="1"/>
  <c r="D82"/>
  <c r="C82" s="1"/>
  <c r="B82" s="1"/>
  <c r="D83"/>
  <c r="C83" s="1"/>
  <c r="B83" s="1"/>
  <c r="D84"/>
  <c r="C84" s="1"/>
  <c r="B84" s="1"/>
  <c r="D85"/>
  <c r="C85" s="1"/>
  <c r="B85" s="1"/>
  <c r="D86"/>
  <c r="C86" s="1"/>
  <c r="B86" s="1"/>
  <c r="D87"/>
  <c r="C87" s="1"/>
  <c r="B87" s="1"/>
  <c r="D88"/>
  <c r="C88" s="1"/>
  <c r="B88" s="1"/>
  <c r="D89"/>
  <c r="C89" s="1"/>
  <c r="B89" s="1"/>
  <c r="D90"/>
  <c r="C90" s="1"/>
  <c r="B90" s="1"/>
  <c r="D91"/>
  <c r="C91" s="1"/>
  <c r="B91" s="1"/>
  <c r="D92"/>
  <c r="C92" s="1"/>
  <c r="B92" s="1"/>
  <c r="D93"/>
  <c r="C93" s="1"/>
  <c r="B93" s="1"/>
  <c r="D94"/>
  <c r="C94" s="1"/>
  <c r="B94" s="1"/>
  <c r="D95"/>
  <c r="C95" s="1"/>
  <c r="B95" s="1"/>
  <c r="D96"/>
  <c r="C96" s="1"/>
  <c r="B96" s="1"/>
  <c r="D97"/>
  <c r="C97" s="1"/>
  <c r="B97" s="1"/>
  <c r="D98"/>
  <c r="C98" s="1"/>
  <c r="B98" s="1"/>
  <c r="D99"/>
  <c r="C99" s="1"/>
  <c r="B99" s="1"/>
  <c r="D100"/>
  <c r="C100" s="1"/>
  <c r="B100" s="1"/>
  <c r="D101"/>
  <c r="C101" s="1"/>
  <c r="B101" s="1"/>
  <c r="D102"/>
  <c r="C102" s="1"/>
  <c r="B102" s="1"/>
  <c r="D103"/>
  <c r="C103" s="1"/>
  <c r="B103" s="1"/>
  <c r="D104"/>
  <c r="C104" s="1"/>
  <c r="B104" s="1"/>
  <c r="D105"/>
  <c r="C105" s="1"/>
  <c r="B105" s="1"/>
  <c r="D106"/>
  <c r="C106" s="1"/>
  <c r="B106" s="1"/>
  <c r="D107"/>
  <c r="C107" s="1"/>
  <c r="B107" s="1"/>
  <c r="D108"/>
  <c r="C108" s="1"/>
  <c r="B108" s="1"/>
  <c r="D109"/>
  <c r="C109" s="1"/>
  <c r="B109" s="1"/>
  <c r="D110"/>
  <c r="C110" s="1"/>
  <c r="B110" s="1"/>
  <c r="D111"/>
  <c r="C111" s="1"/>
  <c r="B111" s="1"/>
  <c r="D112"/>
  <c r="C112" s="1"/>
  <c r="B112" s="1"/>
  <c r="D113"/>
  <c r="C113" s="1"/>
  <c r="B113" s="1"/>
  <c r="D114"/>
  <c r="C114" s="1"/>
  <c r="B114" s="1"/>
  <c r="D115"/>
  <c r="C115" s="1"/>
  <c r="B115" s="1"/>
  <c r="D116"/>
  <c r="C116" s="1"/>
  <c r="B116" s="1"/>
  <c r="D117"/>
  <c r="C117" s="1"/>
  <c r="B117" s="1"/>
  <c r="D118"/>
  <c r="C118" s="1"/>
  <c r="B118" s="1"/>
  <c r="D119"/>
  <c r="C119" s="1"/>
  <c r="B119" s="1"/>
  <c r="D120"/>
  <c r="C120" s="1"/>
  <c r="B120" s="1"/>
  <c r="D121"/>
  <c r="C121" s="1"/>
  <c r="B121" s="1"/>
  <c r="D122"/>
  <c r="C122" s="1"/>
  <c r="B122" s="1"/>
  <c r="D123"/>
  <c r="C123" s="1"/>
  <c r="B123" s="1"/>
  <c r="D124"/>
  <c r="C124" s="1"/>
  <c r="B124" s="1"/>
  <c r="D125"/>
  <c r="C125" s="1"/>
  <c r="B125" s="1"/>
  <c r="D126"/>
  <c r="C126" s="1"/>
  <c r="B126" s="1"/>
  <c r="D127"/>
  <c r="C127" s="1"/>
  <c r="B127" s="1"/>
  <c r="D128"/>
  <c r="C128" s="1"/>
  <c r="B128" s="1"/>
  <c r="D129"/>
  <c r="C129" s="1"/>
  <c r="B129" s="1"/>
  <c r="D130"/>
  <c r="C130" s="1"/>
  <c r="B130" s="1"/>
  <c r="D131"/>
  <c r="C131" s="1"/>
  <c r="B131" s="1"/>
  <c r="D132"/>
  <c r="C132" s="1"/>
  <c r="B132" s="1"/>
  <c r="D133"/>
  <c r="C133" s="1"/>
  <c r="B133" s="1"/>
  <c r="D134"/>
  <c r="C134" s="1"/>
  <c r="B134" s="1"/>
  <c r="D135"/>
  <c r="C135" s="1"/>
  <c r="B135" s="1"/>
  <c r="D136"/>
  <c r="C136" s="1"/>
  <c r="B136" s="1"/>
  <c r="D137"/>
  <c r="C137" s="1"/>
  <c r="B137" s="1"/>
  <c r="D138"/>
  <c r="C138" s="1"/>
  <c r="B138" s="1"/>
  <c r="D139"/>
  <c r="C139" s="1"/>
  <c r="B139" s="1"/>
  <c r="D140"/>
  <c r="C140" s="1"/>
  <c r="B140" s="1"/>
  <c r="D141"/>
  <c r="C141" s="1"/>
  <c r="B141" s="1"/>
  <c r="D142"/>
  <c r="C142" s="1"/>
  <c r="B142" s="1"/>
  <c r="D143"/>
  <c r="C143" s="1"/>
  <c r="B143" s="1"/>
  <c r="D144"/>
  <c r="C144" s="1"/>
  <c r="B144" s="1"/>
  <c r="D145"/>
  <c r="C145" s="1"/>
  <c r="B145" s="1"/>
  <c r="D146"/>
  <c r="C146" s="1"/>
  <c r="B146" s="1"/>
  <c r="D147"/>
  <c r="C147" s="1"/>
  <c r="B147" s="1"/>
  <c r="D148"/>
  <c r="C148" s="1"/>
  <c r="B148" s="1"/>
  <c r="D149"/>
  <c r="C149" s="1"/>
  <c r="B149" s="1"/>
  <c r="D150"/>
  <c r="C150" s="1"/>
  <c r="B150" s="1"/>
  <c r="D151"/>
  <c r="C151" s="1"/>
  <c r="B151" s="1"/>
  <c r="D152"/>
  <c r="C152" s="1"/>
  <c r="B152" s="1"/>
  <c r="D153"/>
  <c r="C153" s="1"/>
  <c r="B153" s="1"/>
  <c r="D154"/>
  <c r="C154" s="1"/>
  <c r="B154" s="1"/>
  <c r="D155"/>
  <c r="C155" s="1"/>
  <c r="B155" s="1"/>
  <c r="D156"/>
  <c r="C156" s="1"/>
  <c r="B156" s="1"/>
  <c r="D157"/>
  <c r="C157" s="1"/>
  <c r="B157" s="1"/>
  <c r="D158"/>
  <c r="C158" s="1"/>
  <c r="B158" s="1"/>
  <c r="D159"/>
  <c r="C159" s="1"/>
  <c r="B159" s="1"/>
  <c r="D160"/>
  <c r="C160" s="1"/>
  <c r="B160" s="1"/>
  <c r="D161"/>
  <c r="C161" s="1"/>
  <c r="B161" s="1"/>
  <c r="D162"/>
  <c r="C162" s="1"/>
  <c r="B162" s="1"/>
  <c r="D163"/>
  <c r="C163" s="1"/>
  <c r="B163" s="1"/>
  <c r="D164"/>
  <c r="C164" s="1"/>
  <c r="B164" s="1"/>
  <c r="D165"/>
  <c r="C165" s="1"/>
  <c r="B165" s="1"/>
  <c r="D166"/>
  <c r="C166" s="1"/>
  <c r="B166" s="1"/>
  <c r="D167"/>
  <c r="C167" s="1"/>
  <c r="B167" s="1"/>
  <c r="D168"/>
  <c r="C168" s="1"/>
  <c r="B168" s="1"/>
  <c r="D169"/>
  <c r="C169" s="1"/>
  <c r="B169" s="1"/>
  <c r="D170"/>
  <c r="C170" s="1"/>
  <c r="B170" s="1"/>
  <c r="D171"/>
  <c r="C171" s="1"/>
  <c r="B171" s="1"/>
  <c r="D172"/>
  <c r="C172" s="1"/>
  <c r="B172" s="1"/>
  <c r="D173"/>
  <c r="C173" s="1"/>
  <c r="B173" s="1"/>
  <c r="D174"/>
  <c r="C174" s="1"/>
  <c r="B174" s="1"/>
  <c r="D175"/>
  <c r="C175" s="1"/>
  <c r="B175" s="1"/>
  <c r="D176"/>
  <c r="C176" s="1"/>
  <c r="B176" s="1"/>
  <c r="D177"/>
  <c r="C177" s="1"/>
  <c r="B177" s="1"/>
  <c r="D178"/>
  <c r="C178" s="1"/>
  <c r="B178" s="1"/>
  <c r="D179"/>
  <c r="C179" s="1"/>
  <c r="B179" s="1"/>
  <c r="D180"/>
  <c r="C180" s="1"/>
  <c r="B180" s="1"/>
  <c r="D181"/>
  <c r="C181" s="1"/>
  <c r="B181" s="1"/>
  <c r="D182"/>
  <c r="C182" s="1"/>
  <c r="B182" s="1"/>
  <c r="D183"/>
  <c r="C183" s="1"/>
  <c r="B183" s="1"/>
  <c r="D184"/>
  <c r="C184" s="1"/>
  <c r="B184" s="1"/>
  <c r="D185"/>
  <c r="C185" s="1"/>
  <c r="B185" s="1"/>
  <c r="D186"/>
  <c r="C186" s="1"/>
  <c r="B186" s="1"/>
  <c r="D187"/>
  <c r="C187" s="1"/>
  <c r="B187" s="1"/>
  <c r="D188"/>
  <c r="C188" s="1"/>
  <c r="B188" s="1"/>
  <c r="D189"/>
  <c r="C189" s="1"/>
  <c r="B189" s="1"/>
  <c r="D190"/>
  <c r="C190" s="1"/>
  <c r="B190" s="1"/>
  <c r="D191"/>
  <c r="C191" s="1"/>
  <c r="B191" s="1"/>
  <c r="D192"/>
  <c r="C192" s="1"/>
  <c r="B192" s="1"/>
  <c r="D193"/>
  <c r="C193" s="1"/>
  <c r="B193" s="1"/>
  <c r="D194"/>
  <c r="C194" s="1"/>
  <c r="B194" s="1"/>
  <c r="D195"/>
  <c r="C195" s="1"/>
  <c r="B195" s="1"/>
  <c r="D196"/>
  <c r="C196" s="1"/>
  <c r="B196" s="1"/>
  <c r="D197"/>
  <c r="C197" s="1"/>
  <c r="B197" s="1"/>
  <c r="D198"/>
  <c r="C198" s="1"/>
  <c r="B198" s="1"/>
  <c r="D199"/>
  <c r="C199" s="1"/>
  <c r="B199" s="1"/>
  <c r="D200"/>
  <c r="C200" s="1"/>
  <c r="B200" s="1"/>
  <c r="D201"/>
  <c r="C201" s="1"/>
  <c r="B201" s="1"/>
  <c r="D202"/>
  <c r="C202" s="1"/>
  <c r="B202" s="1"/>
  <c r="D203"/>
  <c r="C203" s="1"/>
  <c r="B203" s="1"/>
  <c r="D204"/>
  <c r="C204" s="1"/>
  <c r="B204" s="1"/>
  <c r="D205"/>
  <c r="C205" s="1"/>
  <c r="B205" s="1"/>
  <c r="D206"/>
  <c r="C206" s="1"/>
  <c r="B206" s="1"/>
  <c r="D207"/>
  <c r="C207" s="1"/>
  <c r="B207" s="1"/>
  <c r="D208"/>
  <c r="C208" s="1"/>
  <c r="B208" s="1"/>
  <c r="D209"/>
  <c r="C209" s="1"/>
  <c r="B209" s="1"/>
  <c r="D210"/>
  <c r="C210" s="1"/>
  <c r="B210" s="1"/>
  <c r="D211"/>
  <c r="C211" s="1"/>
  <c r="B211" s="1"/>
  <c r="D212"/>
  <c r="C212" s="1"/>
  <c r="B212" s="1"/>
  <c r="D213"/>
  <c r="C213" s="1"/>
  <c r="B213" s="1"/>
  <c r="D214"/>
  <c r="C214" s="1"/>
  <c r="B214" s="1"/>
  <c r="D215"/>
  <c r="C215" s="1"/>
  <c r="B215" s="1"/>
  <c r="D216"/>
  <c r="C216" s="1"/>
  <c r="B216" s="1"/>
  <c r="D217"/>
  <c r="C217" s="1"/>
  <c r="B217" s="1"/>
  <c r="D218"/>
  <c r="C218" s="1"/>
  <c r="B218" s="1"/>
  <c r="D219"/>
  <c r="C219" s="1"/>
  <c r="B219" s="1"/>
  <c r="D220"/>
  <c r="C220" s="1"/>
  <c r="B220" s="1"/>
  <c r="D221"/>
  <c r="C221" s="1"/>
  <c r="B221" s="1"/>
  <c r="D222"/>
  <c r="C222" s="1"/>
  <c r="B222" s="1"/>
  <c r="D223"/>
  <c r="C223" s="1"/>
  <c r="B223" s="1"/>
  <c r="D224"/>
  <c r="C224" s="1"/>
  <c r="B224" s="1"/>
  <c r="D225"/>
  <c r="C225" s="1"/>
  <c r="B225" s="1"/>
  <c r="D226"/>
  <c r="C226" s="1"/>
  <c r="B226" s="1"/>
  <c r="D227"/>
  <c r="C227" s="1"/>
  <c r="B227" s="1"/>
  <c r="D228"/>
  <c r="C228" s="1"/>
  <c r="B228" s="1"/>
  <c r="D229"/>
  <c r="C229" s="1"/>
  <c r="B229" s="1"/>
  <c r="D230"/>
  <c r="C230" s="1"/>
  <c r="B230" s="1"/>
  <c r="D231"/>
  <c r="C231" s="1"/>
  <c r="B231" s="1"/>
  <c r="D232"/>
  <c r="C232" s="1"/>
  <c r="B232" s="1"/>
  <c r="D233"/>
  <c r="C233" s="1"/>
  <c r="B233" s="1"/>
  <c r="D234"/>
  <c r="C234" s="1"/>
  <c r="B234" s="1"/>
  <c r="D235"/>
  <c r="C235" s="1"/>
  <c r="B235" s="1"/>
  <c r="D236"/>
  <c r="C236" s="1"/>
  <c r="B236" s="1"/>
  <c r="D237"/>
  <c r="C237" s="1"/>
  <c r="B237" s="1"/>
  <c r="D238"/>
  <c r="C238" s="1"/>
  <c r="B238" s="1"/>
  <c r="D239"/>
  <c r="C239" s="1"/>
  <c r="B239" s="1"/>
  <c r="D240"/>
  <c r="C240" s="1"/>
  <c r="B240" s="1"/>
  <c r="D241"/>
  <c r="C241" s="1"/>
  <c r="B241" s="1"/>
  <c r="D3"/>
  <c r="C3" s="1"/>
  <c r="B3" s="1"/>
  <c r="D4" i="30"/>
  <c r="C4" s="1"/>
  <c r="B4" s="1"/>
  <c r="D5"/>
  <c r="C5" s="1"/>
  <c r="B5" s="1"/>
  <c r="D6"/>
  <c r="C6" s="1"/>
  <c r="B6" s="1"/>
  <c r="D7"/>
  <c r="C7" s="1"/>
  <c r="B7" s="1"/>
  <c r="D8"/>
  <c r="C8" s="1"/>
  <c r="B8" s="1"/>
  <c r="D9"/>
  <c r="C9" s="1"/>
  <c r="B9" s="1"/>
  <c r="D10"/>
  <c r="C10" s="1"/>
  <c r="B10" s="1"/>
  <c r="D11"/>
  <c r="C11" s="1"/>
  <c r="B11" s="1"/>
  <c r="D12"/>
  <c r="C12" s="1"/>
  <c r="B12" s="1"/>
  <c r="D13"/>
  <c r="C13" s="1"/>
  <c r="B13" s="1"/>
  <c r="D14"/>
  <c r="C14" s="1"/>
  <c r="B14" s="1"/>
  <c r="D15"/>
  <c r="C15" s="1"/>
  <c r="B15" s="1"/>
  <c r="D16"/>
  <c r="C16" s="1"/>
  <c r="B16" s="1"/>
  <c r="D17"/>
  <c r="C17" s="1"/>
  <c r="B17" s="1"/>
  <c r="D18"/>
  <c r="C18" s="1"/>
  <c r="B18" s="1"/>
  <c r="D19"/>
  <c r="C19" s="1"/>
  <c r="B19" s="1"/>
  <c r="D20"/>
  <c r="C20" s="1"/>
  <c r="B20" s="1"/>
  <c r="D21"/>
  <c r="C21" s="1"/>
  <c r="B21" s="1"/>
  <c r="D22"/>
  <c r="C22" s="1"/>
  <c r="B22" s="1"/>
  <c r="D23"/>
  <c r="C23" s="1"/>
  <c r="B23" s="1"/>
  <c r="D24"/>
  <c r="C24" s="1"/>
  <c r="B24" s="1"/>
  <c r="D25"/>
  <c r="C25" s="1"/>
  <c r="B25" s="1"/>
  <c r="D26"/>
  <c r="C26" s="1"/>
  <c r="B26" s="1"/>
  <c r="D27"/>
  <c r="C27" s="1"/>
  <c r="B27" s="1"/>
  <c r="D28"/>
  <c r="C28" s="1"/>
  <c r="B28" s="1"/>
  <c r="D29"/>
  <c r="C29" s="1"/>
  <c r="B29" s="1"/>
  <c r="D30"/>
  <c r="C30" s="1"/>
  <c r="B30" s="1"/>
  <c r="D31"/>
  <c r="C31" s="1"/>
  <c r="B31" s="1"/>
  <c r="D32"/>
  <c r="C32" s="1"/>
  <c r="B32" s="1"/>
  <c r="D33"/>
  <c r="C33" s="1"/>
  <c r="B33" s="1"/>
  <c r="D34"/>
  <c r="C34" s="1"/>
  <c r="B34" s="1"/>
  <c r="D35"/>
  <c r="C35" s="1"/>
  <c r="B35" s="1"/>
  <c r="D36"/>
  <c r="C36" s="1"/>
  <c r="B36" s="1"/>
  <c r="D37"/>
  <c r="C37" s="1"/>
  <c r="B37" s="1"/>
  <c r="D38"/>
  <c r="C38" s="1"/>
  <c r="B38" s="1"/>
  <c r="D39"/>
  <c r="C39" s="1"/>
  <c r="B39" s="1"/>
  <c r="D40"/>
  <c r="C40" s="1"/>
  <c r="B40" s="1"/>
  <c r="D41"/>
  <c r="C41" s="1"/>
  <c r="B41" s="1"/>
  <c r="D42"/>
  <c r="C42" s="1"/>
  <c r="B42" s="1"/>
  <c r="D43"/>
  <c r="C43" s="1"/>
  <c r="B43" s="1"/>
  <c r="D44"/>
  <c r="C44" s="1"/>
  <c r="B44" s="1"/>
  <c r="D45"/>
  <c r="C45" s="1"/>
  <c r="B45" s="1"/>
  <c r="D46"/>
  <c r="C46" s="1"/>
  <c r="B46" s="1"/>
  <c r="D47"/>
  <c r="C47" s="1"/>
  <c r="B47" s="1"/>
  <c r="D48"/>
  <c r="C48" s="1"/>
  <c r="B48" s="1"/>
  <c r="D49"/>
  <c r="C49" s="1"/>
  <c r="B49" s="1"/>
  <c r="D50"/>
  <c r="C50" s="1"/>
  <c r="B50" s="1"/>
  <c r="D51"/>
  <c r="C51" s="1"/>
  <c r="B51" s="1"/>
  <c r="D52"/>
  <c r="C52" s="1"/>
  <c r="B52" s="1"/>
  <c r="D53"/>
  <c r="C53" s="1"/>
  <c r="B53" s="1"/>
  <c r="D54"/>
  <c r="C54" s="1"/>
  <c r="B54" s="1"/>
  <c r="D55"/>
  <c r="C55" s="1"/>
  <c r="B55" s="1"/>
  <c r="D56"/>
  <c r="C56" s="1"/>
  <c r="B56" s="1"/>
  <c r="D57"/>
  <c r="C57" s="1"/>
  <c r="B57" s="1"/>
  <c r="D58"/>
  <c r="C58" s="1"/>
  <c r="B58" s="1"/>
  <c r="D59"/>
  <c r="C59" s="1"/>
  <c r="B59" s="1"/>
  <c r="D60"/>
  <c r="C60" s="1"/>
  <c r="B60" s="1"/>
  <c r="D61"/>
  <c r="C61" s="1"/>
  <c r="B61" s="1"/>
  <c r="D62"/>
  <c r="C62" s="1"/>
  <c r="B62" s="1"/>
  <c r="D63"/>
  <c r="C63" s="1"/>
  <c r="B63" s="1"/>
  <c r="D64"/>
  <c r="C64" s="1"/>
  <c r="B64" s="1"/>
  <c r="D65"/>
  <c r="C65" s="1"/>
  <c r="B65" s="1"/>
  <c r="D66"/>
  <c r="C66" s="1"/>
  <c r="B66" s="1"/>
  <c r="D67"/>
  <c r="C67" s="1"/>
  <c r="B67" s="1"/>
  <c r="D68"/>
  <c r="C68" s="1"/>
  <c r="B68" s="1"/>
  <c r="D69"/>
  <c r="C69" s="1"/>
  <c r="B69" s="1"/>
  <c r="D70"/>
  <c r="C70" s="1"/>
  <c r="B70" s="1"/>
  <c r="D71"/>
  <c r="C71" s="1"/>
  <c r="B71" s="1"/>
  <c r="D72"/>
  <c r="C72" s="1"/>
  <c r="B72" s="1"/>
  <c r="D73"/>
  <c r="C73" s="1"/>
  <c r="B73" s="1"/>
  <c r="D74"/>
  <c r="C74" s="1"/>
  <c r="B74" s="1"/>
  <c r="D75"/>
  <c r="C75" s="1"/>
  <c r="B75" s="1"/>
  <c r="D76"/>
  <c r="C76" s="1"/>
  <c r="B76" s="1"/>
  <c r="D77"/>
  <c r="C77" s="1"/>
  <c r="B77" s="1"/>
  <c r="D78"/>
  <c r="C78" s="1"/>
  <c r="B78" s="1"/>
  <c r="D79"/>
  <c r="C79" s="1"/>
  <c r="B79" s="1"/>
  <c r="D80"/>
  <c r="C80" s="1"/>
  <c r="B80" s="1"/>
  <c r="D81"/>
  <c r="C81" s="1"/>
  <c r="B81" s="1"/>
  <c r="D82"/>
  <c r="C82" s="1"/>
  <c r="B82" s="1"/>
  <c r="D83"/>
  <c r="C83" s="1"/>
  <c r="B83" s="1"/>
  <c r="D84"/>
  <c r="C84" s="1"/>
  <c r="B84" s="1"/>
  <c r="D85"/>
  <c r="C85" s="1"/>
  <c r="B85" s="1"/>
  <c r="D86"/>
  <c r="C86" s="1"/>
  <c r="B86" s="1"/>
  <c r="D87"/>
  <c r="C87" s="1"/>
  <c r="B87" s="1"/>
  <c r="D88"/>
  <c r="C88" s="1"/>
  <c r="B88" s="1"/>
  <c r="D89"/>
  <c r="C89" s="1"/>
  <c r="B89" s="1"/>
  <c r="D90"/>
  <c r="C90" s="1"/>
  <c r="B90" s="1"/>
  <c r="D91"/>
  <c r="C91" s="1"/>
  <c r="B91" s="1"/>
  <c r="D92"/>
  <c r="C92" s="1"/>
  <c r="B92" s="1"/>
  <c r="D93"/>
  <c r="C93" s="1"/>
  <c r="B93" s="1"/>
  <c r="D94"/>
  <c r="C94" s="1"/>
  <c r="B94" s="1"/>
  <c r="D95"/>
  <c r="C95" s="1"/>
  <c r="B95" s="1"/>
  <c r="D96"/>
  <c r="C96" s="1"/>
  <c r="B96" s="1"/>
  <c r="D97"/>
  <c r="C97" s="1"/>
  <c r="B97" s="1"/>
  <c r="D98"/>
  <c r="C98" s="1"/>
  <c r="B98" s="1"/>
  <c r="D99"/>
  <c r="C99" s="1"/>
  <c r="B99" s="1"/>
  <c r="D100"/>
  <c r="C100" s="1"/>
  <c r="B100" s="1"/>
  <c r="D101"/>
  <c r="C101" s="1"/>
  <c r="B101" s="1"/>
  <c r="D102"/>
  <c r="C102" s="1"/>
  <c r="B102" s="1"/>
  <c r="D103"/>
  <c r="C103" s="1"/>
  <c r="B103" s="1"/>
  <c r="D104"/>
  <c r="C104" s="1"/>
  <c r="B104" s="1"/>
  <c r="D105"/>
  <c r="C105" s="1"/>
  <c r="B105" s="1"/>
  <c r="D106"/>
  <c r="C106" s="1"/>
  <c r="B106" s="1"/>
  <c r="D107"/>
  <c r="C107" s="1"/>
  <c r="B107" s="1"/>
  <c r="D108"/>
  <c r="C108" s="1"/>
  <c r="B108" s="1"/>
  <c r="D109"/>
  <c r="C109" s="1"/>
  <c r="B109" s="1"/>
  <c r="D110"/>
  <c r="C110" s="1"/>
  <c r="B110" s="1"/>
  <c r="D111"/>
  <c r="C111" s="1"/>
  <c r="B111" s="1"/>
  <c r="D112"/>
  <c r="C112" s="1"/>
  <c r="B112" s="1"/>
  <c r="D113"/>
  <c r="C113" s="1"/>
  <c r="B113" s="1"/>
  <c r="D114"/>
  <c r="C114" s="1"/>
  <c r="B114" s="1"/>
  <c r="D115"/>
  <c r="C115" s="1"/>
  <c r="B115" s="1"/>
  <c r="D116"/>
  <c r="C116" s="1"/>
  <c r="B116" s="1"/>
  <c r="D117"/>
  <c r="C117" s="1"/>
  <c r="B117" s="1"/>
  <c r="D118"/>
  <c r="C118" s="1"/>
  <c r="B118" s="1"/>
  <c r="D119"/>
  <c r="C119" s="1"/>
  <c r="B119" s="1"/>
  <c r="D120"/>
  <c r="C120" s="1"/>
  <c r="B120" s="1"/>
  <c r="D121"/>
  <c r="C121" s="1"/>
  <c r="B121" s="1"/>
  <c r="D122"/>
  <c r="C122" s="1"/>
  <c r="B122" s="1"/>
  <c r="D123"/>
  <c r="C123" s="1"/>
  <c r="B123" s="1"/>
  <c r="D124"/>
  <c r="C124" s="1"/>
  <c r="B124" s="1"/>
  <c r="D125"/>
  <c r="C125" s="1"/>
  <c r="B125" s="1"/>
  <c r="D126"/>
  <c r="C126" s="1"/>
  <c r="B126" s="1"/>
  <c r="D127"/>
  <c r="C127" s="1"/>
  <c r="B127" s="1"/>
  <c r="D128"/>
  <c r="C128" s="1"/>
  <c r="B128" s="1"/>
  <c r="D129"/>
  <c r="C129" s="1"/>
  <c r="B129" s="1"/>
  <c r="D130"/>
  <c r="C130" s="1"/>
  <c r="B130" s="1"/>
  <c r="D131"/>
  <c r="C131" s="1"/>
  <c r="B131" s="1"/>
  <c r="D132"/>
  <c r="C132" s="1"/>
  <c r="B132" s="1"/>
  <c r="D133"/>
  <c r="C133" s="1"/>
  <c r="B133" s="1"/>
  <c r="D134"/>
  <c r="C134" s="1"/>
  <c r="B134" s="1"/>
  <c r="D135"/>
  <c r="C135" s="1"/>
  <c r="B135" s="1"/>
  <c r="D136"/>
  <c r="C136" s="1"/>
  <c r="B136" s="1"/>
  <c r="D137"/>
  <c r="C137" s="1"/>
  <c r="B137" s="1"/>
  <c r="D138"/>
  <c r="C138" s="1"/>
  <c r="B138" s="1"/>
  <c r="D139"/>
  <c r="C139" s="1"/>
  <c r="B139" s="1"/>
  <c r="D140"/>
  <c r="C140" s="1"/>
  <c r="B140" s="1"/>
  <c r="D141"/>
  <c r="C141" s="1"/>
  <c r="B141" s="1"/>
  <c r="D142"/>
  <c r="C142" s="1"/>
  <c r="B142" s="1"/>
  <c r="D143"/>
  <c r="C143" s="1"/>
  <c r="B143" s="1"/>
  <c r="D144"/>
  <c r="C144" s="1"/>
  <c r="B144" s="1"/>
  <c r="D145"/>
  <c r="C145" s="1"/>
  <c r="B145" s="1"/>
  <c r="D146"/>
  <c r="C146" s="1"/>
  <c r="B146" s="1"/>
  <c r="D147"/>
  <c r="C147" s="1"/>
  <c r="B147" s="1"/>
  <c r="D148"/>
  <c r="C148" s="1"/>
  <c r="B148" s="1"/>
  <c r="D149"/>
  <c r="C149" s="1"/>
  <c r="B149" s="1"/>
  <c r="D150"/>
  <c r="C150" s="1"/>
  <c r="B150" s="1"/>
  <c r="D151"/>
  <c r="C151" s="1"/>
  <c r="B151" s="1"/>
  <c r="D152"/>
  <c r="C152" s="1"/>
  <c r="B152" s="1"/>
  <c r="D153"/>
  <c r="C153" s="1"/>
  <c r="B153" s="1"/>
  <c r="D154"/>
  <c r="C154" s="1"/>
  <c r="B154" s="1"/>
  <c r="D155"/>
  <c r="C155" s="1"/>
  <c r="B155" s="1"/>
  <c r="D156"/>
  <c r="C156" s="1"/>
  <c r="B156" s="1"/>
  <c r="D157"/>
  <c r="C157" s="1"/>
  <c r="B157" s="1"/>
  <c r="D158"/>
  <c r="C158" s="1"/>
  <c r="B158" s="1"/>
  <c r="D159"/>
  <c r="C159" s="1"/>
  <c r="B159" s="1"/>
  <c r="D160"/>
  <c r="C160" s="1"/>
  <c r="B160" s="1"/>
  <c r="D161"/>
  <c r="C161" s="1"/>
  <c r="B161" s="1"/>
  <c r="D162"/>
  <c r="C162" s="1"/>
  <c r="B162" s="1"/>
  <c r="D163"/>
  <c r="C163" s="1"/>
  <c r="B163" s="1"/>
  <c r="D164"/>
  <c r="C164" s="1"/>
  <c r="B164" s="1"/>
  <c r="D165"/>
  <c r="C165" s="1"/>
  <c r="B165" s="1"/>
  <c r="D166"/>
  <c r="C166" s="1"/>
  <c r="B166" s="1"/>
  <c r="D167"/>
  <c r="C167" s="1"/>
  <c r="B167" s="1"/>
  <c r="D168"/>
  <c r="C168" s="1"/>
  <c r="B168" s="1"/>
  <c r="D169"/>
  <c r="C169" s="1"/>
  <c r="B169" s="1"/>
  <c r="D170"/>
  <c r="C170" s="1"/>
  <c r="B170" s="1"/>
  <c r="D171"/>
  <c r="C171" s="1"/>
  <c r="B171" s="1"/>
  <c r="D172"/>
  <c r="C172" s="1"/>
  <c r="B172" s="1"/>
  <c r="D173"/>
  <c r="C173" s="1"/>
  <c r="B173" s="1"/>
  <c r="D174"/>
  <c r="C174" s="1"/>
  <c r="B174" s="1"/>
  <c r="D175"/>
  <c r="C175" s="1"/>
  <c r="B175" s="1"/>
  <c r="D176"/>
  <c r="C176" s="1"/>
  <c r="B176" s="1"/>
  <c r="D177"/>
  <c r="C177" s="1"/>
  <c r="B177" s="1"/>
  <c r="D178"/>
  <c r="C178" s="1"/>
  <c r="B178" s="1"/>
  <c r="D179"/>
  <c r="C179" s="1"/>
  <c r="B179" s="1"/>
  <c r="D180"/>
  <c r="C180" s="1"/>
  <c r="B180" s="1"/>
  <c r="D181"/>
  <c r="C181" s="1"/>
  <c r="B181" s="1"/>
  <c r="D182"/>
  <c r="C182" s="1"/>
  <c r="B182" s="1"/>
  <c r="D183"/>
  <c r="C183" s="1"/>
  <c r="B183" s="1"/>
  <c r="D184"/>
  <c r="C184" s="1"/>
  <c r="B184" s="1"/>
  <c r="D185"/>
  <c r="C185" s="1"/>
  <c r="B185" s="1"/>
  <c r="D186"/>
  <c r="C186" s="1"/>
  <c r="B186" s="1"/>
  <c r="D187"/>
  <c r="C187" s="1"/>
  <c r="B187" s="1"/>
  <c r="D188"/>
  <c r="C188" s="1"/>
  <c r="B188" s="1"/>
  <c r="D189"/>
  <c r="C189" s="1"/>
  <c r="B189" s="1"/>
  <c r="D190"/>
  <c r="C190" s="1"/>
  <c r="B190" s="1"/>
  <c r="D191"/>
  <c r="C191" s="1"/>
  <c r="B191" s="1"/>
  <c r="D192"/>
  <c r="C192" s="1"/>
  <c r="B192" s="1"/>
  <c r="D193"/>
  <c r="C193" s="1"/>
  <c r="B193" s="1"/>
  <c r="D194"/>
  <c r="C194" s="1"/>
  <c r="B194" s="1"/>
  <c r="D195"/>
  <c r="C195" s="1"/>
  <c r="B195" s="1"/>
  <c r="D196"/>
  <c r="C196" s="1"/>
  <c r="B196" s="1"/>
  <c r="D197"/>
  <c r="C197" s="1"/>
  <c r="B197" s="1"/>
  <c r="D198"/>
  <c r="C198" s="1"/>
  <c r="B198" s="1"/>
  <c r="D199"/>
  <c r="C199" s="1"/>
  <c r="B199" s="1"/>
  <c r="D200"/>
  <c r="C200" s="1"/>
  <c r="B200" s="1"/>
  <c r="D201"/>
  <c r="C201" s="1"/>
  <c r="B201" s="1"/>
  <c r="D202"/>
  <c r="C202" s="1"/>
  <c r="B202" s="1"/>
  <c r="D203"/>
  <c r="C203" s="1"/>
  <c r="B203" s="1"/>
  <c r="D204"/>
  <c r="C204" s="1"/>
  <c r="B204" s="1"/>
  <c r="D205"/>
  <c r="C205" s="1"/>
  <c r="B205" s="1"/>
  <c r="D206"/>
  <c r="C206" s="1"/>
  <c r="B206" s="1"/>
  <c r="D207"/>
  <c r="C207" s="1"/>
  <c r="B207" s="1"/>
  <c r="D208"/>
  <c r="C208" s="1"/>
  <c r="B208" s="1"/>
  <c r="D209"/>
  <c r="C209" s="1"/>
  <c r="B209" s="1"/>
  <c r="D210"/>
  <c r="C210" s="1"/>
  <c r="B210" s="1"/>
  <c r="D211"/>
  <c r="C211" s="1"/>
  <c r="B211" s="1"/>
  <c r="D212"/>
  <c r="C212" s="1"/>
  <c r="B212" s="1"/>
  <c r="D213"/>
  <c r="C213" s="1"/>
  <c r="B213" s="1"/>
  <c r="D214"/>
  <c r="C214" s="1"/>
  <c r="B214" s="1"/>
  <c r="D215"/>
  <c r="C215" s="1"/>
  <c r="B215" s="1"/>
  <c r="D216"/>
  <c r="C216" s="1"/>
  <c r="B216" s="1"/>
  <c r="D217"/>
  <c r="C217" s="1"/>
  <c r="B217" s="1"/>
  <c r="D218"/>
  <c r="C218" s="1"/>
  <c r="B218" s="1"/>
  <c r="D219"/>
  <c r="C219" s="1"/>
  <c r="B219" s="1"/>
  <c r="D220"/>
  <c r="C220" s="1"/>
  <c r="B220" s="1"/>
  <c r="D221"/>
  <c r="C221" s="1"/>
  <c r="B221" s="1"/>
  <c r="D222"/>
  <c r="C222" s="1"/>
  <c r="B222" s="1"/>
  <c r="D223"/>
  <c r="C223" s="1"/>
  <c r="B223" s="1"/>
  <c r="D224"/>
  <c r="C224" s="1"/>
  <c r="B224" s="1"/>
  <c r="D225"/>
  <c r="C225" s="1"/>
  <c r="B225" s="1"/>
  <c r="D226"/>
  <c r="C226" s="1"/>
  <c r="B226" s="1"/>
  <c r="D227"/>
  <c r="C227" s="1"/>
  <c r="B227" s="1"/>
  <c r="D228"/>
  <c r="C228" s="1"/>
  <c r="B228" s="1"/>
  <c r="D229"/>
  <c r="C229" s="1"/>
  <c r="B229" s="1"/>
  <c r="D230"/>
  <c r="C230" s="1"/>
  <c r="B230" s="1"/>
  <c r="D231"/>
  <c r="C231" s="1"/>
  <c r="B231" s="1"/>
  <c r="D232"/>
  <c r="C232" s="1"/>
  <c r="B232" s="1"/>
  <c r="D233"/>
  <c r="C233" s="1"/>
  <c r="B233" s="1"/>
  <c r="D234"/>
  <c r="C234" s="1"/>
  <c r="B234" s="1"/>
  <c r="D235"/>
  <c r="C235" s="1"/>
  <c r="B235" s="1"/>
  <c r="D236"/>
  <c r="C236" s="1"/>
  <c r="B236" s="1"/>
  <c r="D237"/>
  <c r="C237" s="1"/>
  <c r="B237" s="1"/>
  <c r="D238"/>
  <c r="C238" s="1"/>
  <c r="B238" s="1"/>
  <c r="D239"/>
  <c r="C239" s="1"/>
  <c r="B239" s="1"/>
  <c r="D240"/>
  <c r="C240" s="1"/>
  <c r="B240" s="1"/>
  <c r="D241"/>
  <c r="C241" s="1"/>
  <c r="B241" s="1"/>
  <c r="D242"/>
  <c r="C242" s="1"/>
  <c r="B242" s="1"/>
  <c r="D243"/>
  <c r="C243" s="1"/>
  <c r="B243" s="1"/>
  <c r="D244"/>
  <c r="C244" s="1"/>
  <c r="B244" s="1"/>
  <c r="D245"/>
  <c r="C245" s="1"/>
  <c r="B245" s="1"/>
  <c r="D246"/>
  <c r="C246" s="1"/>
  <c r="B246" s="1"/>
  <c r="D247"/>
  <c r="C247" s="1"/>
  <c r="B247" s="1"/>
  <c r="D248"/>
  <c r="C248" s="1"/>
  <c r="B248" s="1"/>
  <c r="D249"/>
  <c r="C249" s="1"/>
  <c r="B249" s="1"/>
  <c r="D250"/>
  <c r="C250" s="1"/>
  <c r="B250" s="1"/>
  <c r="D251"/>
  <c r="C251" s="1"/>
  <c r="B251" s="1"/>
  <c r="D252"/>
  <c r="C252" s="1"/>
  <c r="B252" s="1"/>
  <c r="D253"/>
  <c r="C253" s="1"/>
  <c r="B253" s="1"/>
  <c r="D254"/>
  <c r="C254" s="1"/>
  <c r="B254" s="1"/>
  <c r="D255"/>
  <c r="C255" s="1"/>
  <c r="B255" s="1"/>
  <c r="D256"/>
  <c r="C256" s="1"/>
  <c r="B256" s="1"/>
  <c r="D257"/>
  <c r="C257" s="1"/>
  <c r="B257" s="1"/>
  <c r="D258"/>
  <c r="C258" s="1"/>
  <c r="B258" s="1"/>
  <c r="D259"/>
  <c r="C259" s="1"/>
  <c r="B259" s="1"/>
  <c r="D260"/>
  <c r="C260" s="1"/>
  <c r="B260" s="1"/>
  <c r="D261"/>
  <c r="C261" s="1"/>
  <c r="B261" s="1"/>
  <c r="D262"/>
  <c r="C262" s="1"/>
  <c r="B262" s="1"/>
  <c r="D263"/>
  <c r="C263" s="1"/>
  <c r="B263" s="1"/>
  <c r="D264"/>
  <c r="C264" s="1"/>
  <c r="B264" s="1"/>
  <c r="D265"/>
  <c r="C265" s="1"/>
  <c r="B265" s="1"/>
  <c r="D266"/>
  <c r="C266" s="1"/>
  <c r="B266" s="1"/>
  <c r="D267"/>
  <c r="C267" s="1"/>
  <c r="B267" s="1"/>
  <c r="D268"/>
  <c r="C268" s="1"/>
  <c r="B268" s="1"/>
  <c r="D269"/>
  <c r="C269" s="1"/>
  <c r="B269" s="1"/>
  <c r="D270"/>
  <c r="C270" s="1"/>
  <c r="B270" s="1"/>
  <c r="D271"/>
  <c r="C271" s="1"/>
  <c r="B271" s="1"/>
  <c r="D272"/>
  <c r="C272" s="1"/>
  <c r="B272" s="1"/>
  <c r="D273"/>
  <c r="C273" s="1"/>
  <c r="B273" s="1"/>
  <c r="D274"/>
  <c r="C274" s="1"/>
  <c r="B274" s="1"/>
  <c r="D275"/>
  <c r="C275" s="1"/>
  <c r="B275" s="1"/>
  <c r="D276"/>
  <c r="C276" s="1"/>
  <c r="B276" s="1"/>
  <c r="D277"/>
  <c r="C277" s="1"/>
  <c r="B277" s="1"/>
  <c r="D278"/>
  <c r="C278" s="1"/>
  <c r="B278" s="1"/>
  <c r="D279"/>
  <c r="C279" s="1"/>
  <c r="B279" s="1"/>
  <c r="D280"/>
  <c r="C280" s="1"/>
  <c r="B280" s="1"/>
  <c r="D281"/>
  <c r="C281" s="1"/>
  <c r="B281" s="1"/>
  <c r="D282"/>
  <c r="C282" s="1"/>
  <c r="B282" s="1"/>
  <c r="D283"/>
  <c r="C283" s="1"/>
  <c r="B283" s="1"/>
  <c r="D284"/>
  <c r="C284" s="1"/>
  <c r="B284" s="1"/>
  <c r="D285"/>
  <c r="C285" s="1"/>
  <c r="B285" s="1"/>
  <c r="D286"/>
  <c r="C286" s="1"/>
  <c r="B286" s="1"/>
  <c r="D287"/>
  <c r="C287" s="1"/>
  <c r="B287" s="1"/>
  <c r="D288"/>
  <c r="C288" s="1"/>
  <c r="B288" s="1"/>
  <c r="D289"/>
  <c r="C289" s="1"/>
  <c r="B289" s="1"/>
  <c r="D290"/>
  <c r="C290" s="1"/>
  <c r="B290" s="1"/>
  <c r="D291"/>
  <c r="C291" s="1"/>
  <c r="B291" s="1"/>
  <c r="D292"/>
  <c r="C292" s="1"/>
  <c r="B292" s="1"/>
  <c r="D293"/>
  <c r="C293" s="1"/>
  <c r="B293" s="1"/>
  <c r="D294"/>
  <c r="C294" s="1"/>
  <c r="B294" s="1"/>
  <c r="D295"/>
  <c r="C295" s="1"/>
  <c r="B295" s="1"/>
  <c r="D296"/>
  <c r="C296" s="1"/>
  <c r="B296" s="1"/>
  <c r="D297"/>
  <c r="C297" s="1"/>
  <c r="B297" s="1"/>
  <c r="D298"/>
  <c r="C298" s="1"/>
  <c r="B298" s="1"/>
  <c r="D299"/>
  <c r="C299" s="1"/>
  <c r="B299" s="1"/>
  <c r="D300"/>
  <c r="C300" s="1"/>
  <c r="B300" s="1"/>
  <c r="D301"/>
  <c r="C301" s="1"/>
  <c r="B301" s="1"/>
  <c r="D302"/>
  <c r="C302" s="1"/>
  <c r="B302" s="1"/>
  <c r="D303"/>
  <c r="C303" s="1"/>
  <c r="B303" s="1"/>
  <c r="D304"/>
  <c r="C304" s="1"/>
  <c r="B304" s="1"/>
  <c r="D305"/>
  <c r="C305" s="1"/>
  <c r="B305" s="1"/>
  <c r="D306"/>
  <c r="C306" s="1"/>
  <c r="B306" s="1"/>
  <c r="D307"/>
  <c r="C307" s="1"/>
  <c r="B307" s="1"/>
  <c r="D308"/>
  <c r="C308" s="1"/>
  <c r="B308" s="1"/>
  <c r="D309"/>
  <c r="C309" s="1"/>
  <c r="B309" s="1"/>
  <c r="D310"/>
  <c r="C310" s="1"/>
  <c r="B310" s="1"/>
  <c r="D311"/>
  <c r="C311" s="1"/>
  <c r="B311" s="1"/>
  <c r="D312"/>
  <c r="C312" s="1"/>
  <c r="B312" s="1"/>
  <c r="D313"/>
  <c r="C313" s="1"/>
  <c r="B313" s="1"/>
  <c r="D314"/>
  <c r="C314" s="1"/>
  <c r="B314" s="1"/>
  <c r="D315"/>
  <c r="C315" s="1"/>
  <c r="B315" s="1"/>
  <c r="D316"/>
  <c r="C316" s="1"/>
  <c r="B316" s="1"/>
  <c r="D317"/>
  <c r="C317" s="1"/>
  <c r="B317" s="1"/>
  <c r="D318"/>
  <c r="C318" s="1"/>
  <c r="B318" s="1"/>
  <c r="D319"/>
  <c r="C319" s="1"/>
  <c r="B319" s="1"/>
  <c r="D320"/>
  <c r="C320" s="1"/>
  <c r="B320" s="1"/>
  <c r="D321"/>
  <c r="C321" s="1"/>
  <c r="B321" s="1"/>
  <c r="D322"/>
  <c r="C322" s="1"/>
  <c r="B322" s="1"/>
  <c r="D323"/>
  <c r="C323" s="1"/>
  <c r="B323" s="1"/>
  <c r="D324"/>
  <c r="C324" s="1"/>
  <c r="B324" s="1"/>
  <c r="D325"/>
  <c r="C325" s="1"/>
  <c r="B325" s="1"/>
  <c r="D326"/>
  <c r="C326" s="1"/>
  <c r="B326" s="1"/>
  <c r="D327"/>
  <c r="C327" s="1"/>
  <c r="B327" s="1"/>
  <c r="D328"/>
  <c r="C328" s="1"/>
  <c r="B328" s="1"/>
  <c r="D329"/>
  <c r="C329" s="1"/>
  <c r="B329" s="1"/>
  <c r="D330"/>
  <c r="C330" s="1"/>
  <c r="B330" s="1"/>
  <c r="D331"/>
  <c r="C331" s="1"/>
  <c r="B331" s="1"/>
  <c r="D332"/>
  <c r="C332" s="1"/>
  <c r="B332" s="1"/>
  <c r="D333"/>
  <c r="C333" s="1"/>
  <c r="B333" s="1"/>
  <c r="D334"/>
  <c r="C334" s="1"/>
  <c r="B334" s="1"/>
  <c r="D335"/>
  <c r="C335" s="1"/>
  <c r="B335" s="1"/>
  <c r="D336"/>
  <c r="C336" s="1"/>
  <c r="B336" s="1"/>
  <c r="D337"/>
  <c r="C337" s="1"/>
  <c r="B337" s="1"/>
  <c r="D338"/>
  <c r="C338" s="1"/>
  <c r="B338" s="1"/>
  <c r="D339"/>
  <c r="C339" s="1"/>
  <c r="B339" s="1"/>
  <c r="D340"/>
  <c r="C340" s="1"/>
  <c r="B340" s="1"/>
  <c r="D341"/>
  <c r="C341" s="1"/>
  <c r="B341" s="1"/>
  <c r="D342"/>
  <c r="C342" s="1"/>
  <c r="B342" s="1"/>
  <c r="D343"/>
  <c r="C343" s="1"/>
  <c r="B343" s="1"/>
  <c r="D344"/>
  <c r="C344" s="1"/>
  <c r="B344" s="1"/>
  <c r="D345"/>
  <c r="C345" s="1"/>
  <c r="B345" s="1"/>
  <c r="D346"/>
  <c r="C346" s="1"/>
  <c r="B346" s="1"/>
  <c r="D347"/>
  <c r="C347" s="1"/>
  <c r="B347" s="1"/>
  <c r="D348"/>
  <c r="C348" s="1"/>
  <c r="B348" s="1"/>
  <c r="D349"/>
  <c r="C349" s="1"/>
  <c r="B349" s="1"/>
  <c r="D350"/>
  <c r="C350" s="1"/>
  <c r="B350" s="1"/>
  <c r="D351"/>
  <c r="C351" s="1"/>
  <c r="B351" s="1"/>
  <c r="D352"/>
  <c r="C352" s="1"/>
  <c r="B352" s="1"/>
  <c r="D353"/>
  <c r="C353" s="1"/>
  <c r="B353" s="1"/>
  <c r="D354"/>
  <c r="C354" s="1"/>
  <c r="B354" s="1"/>
  <c r="D355"/>
  <c r="C355" s="1"/>
  <c r="B355" s="1"/>
  <c r="D356"/>
  <c r="C356" s="1"/>
  <c r="B356" s="1"/>
  <c r="D357"/>
  <c r="C357" s="1"/>
  <c r="B357" s="1"/>
  <c r="D358"/>
  <c r="C358" s="1"/>
  <c r="B358" s="1"/>
  <c r="D359"/>
  <c r="C359" s="1"/>
  <c r="B359" s="1"/>
  <c r="D360"/>
  <c r="C360" s="1"/>
  <c r="B360" s="1"/>
  <c r="D361"/>
  <c r="C361" s="1"/>
  <c r="B361" s="1"/>
  <c r="D362"/>
  <c r="C362" s="1"/>
  <c r="B362" s="1"/>
  <c r="D363"/>
  <c r="C363" s="1"/>
  <c r="B363" s="1"/>
  <c r="D364"/>
  <c r="C364" s="1"/>
  <c r="B364" s="1"/>
  <c r="D365"/>
  <c r="C365" s="1"/>
  <c r="B365" s="1"/>
  <c r="D366"/>
  <c r="C366" s="1"/>
  <c r="B366" s="1"/>
  <c r="D367"/>
  <c r="C367" s="1"/>
  <c r="B367" s="1"/>
  <c r="D368"/>
  <c r="C368" s="1"/>
  <c r="B368" s="1"/>
  <c r="D369"/>
  <c r="C369" s="1"/>
  <c r="B369" s="1"/>
  <c r="D370"/>
  <c r="C370" s="1"/>
  <c r="B370" s="1"/>
  <c r="D371"/>
  <c r="C371" s="1"/>
  <c r="B371" s="1"/>
  <c r="D372"/>
  <c r="C372" s="1"/>
  <c r="B372" s="1"/>
  <c r="D373"/>
  <c r="C373" s="1"/>
  <c r="B373" s="1"/>
  <c r="D374"/>
  <c r="C374" s="1"/>
  <c r="B374" s="1"/>
  <c r="D375"/>
  <c r="C375" s="1"/>
  <c r="B375" s="1"/>
  <c r="D376"/>
  <c r="C376" s="1"/>
  <c r="B376" s="1"/>
  <c r="D377"/>
  <c r="C377" s="1"/>
  <c r="B377" s="1"/>
  <c r="D378"/>
  <c r="C378" s="1"/>
  <c r="B378" s="1"/>
  <c r="D379"/>
  <c r="C379" s="1"/>
  <c r="B379" s="1"/>
  <c r="D380"/>
  <c r="C380" s="1"/>
  <c r="B380" s="1"/>
  <c r="D381"/>
  <c r="C381" s="1"/>
  <c r="B381" s="1"/>
  <c r="D382"/>
  <c r="C382" s="1"/>
  <c r="B382" s="1"/>
  <c r="D383"/>
  <c r="C383" s="1"/>
  <c r="B383" s="1"/>
  <c r="D384"/>
  <c r="C384" s="1"/>
  <c r="B384" s="1"/>
  <c r="D385"/>
  <c r="C385" s="1"/>
  <c r="B385" s="1"/>
  <c r="D386"/>
  <c r="C386" s="1"/>
  <c r="B386" s="1"/>
  <c r="D387"/>
  <c r="C387" s="1"/>
  <c r="B387" s="1"/>
  <c r="D388"/>
  <c r="C388" s="1"/>
  <c r="B388" s="1"/>
  <c r="D389"/>
  <c r="C389" s="1"/>
  <c r="B389" s="1"/>
  <c r="D390"/>
  <c r="C390" s="1"/>
  <c r="B390" s="1"/>
  <c r="D391"/>
  <c r="C391" s="1"/>
  <c r="B391" s="1"/>
  <c r="D392"/>
  <c r="C392" s="1"/>
  <c r="B392" s="1"/>
  <c r="D393"/>
  <c r="C393" s="1"/>
  <c r="B393" s="1"/>
  <c r="D394"/>
  <c r="C394" s="1"/>
  <c r="B394" s="1"/>
  <c r="D395"/>
  <c r="C395" s="1"/>
  <c r="B395" s="1"/>
  <c r="D396"/>
  <c r="C396" s="1"/>
  <c r="B396" s="1"/>
  <c r="D397"/>
  <c r="C397" s="1"/>
  <c r="B397" s="1"/>
  <c r="D398"/>
  <c r="C398" s="1"/>
  <c r="B398" s="1"/>
  <c r="D399"/>
  <c r="C399" s="1"/>
  <c r="B399" s="1"/>
  <c r="D400"/>
  <c r="C400" s="1"/>
  <c r="B400" s="1"/>
  <c r="D401"/>
  <c r="C401" s="1"/>
  <c r="B401" s="1"/>
  <c r="D402"/>
  <c r="C402" s="1"/>
  <c r="B402" s="1"/>
  <c r="D403"/>
  <c r="C403" s="1"/>
  <c r="B403" s="1"/>
  <c r="D404"/>
  <c r="C404" s="1"/>
  <c r="B404" s="1"/>
  <c r="D405"/>
  <c r="C405" s="1"/>
  <c r="B405" s="1"/>
  <c r="D406"/>
  <c r="C406" s="1"/>
  <c r="B406" s="1"/>
  <c r="D407"/>
  <c r="C407" s="1"/>
  <c r="B407" s="1"/>
  <c r="D408"/>
  <c r="C408" s="1"/>
  <c r="B408" s="1"/>
  <c r="D409"/>
  <c r="C409" s="1"/>
  <c r="B409" s="1"/>
  <c r="D410"/>
  <c r="C410" s="1"/>
  <c r="B410" s="1"/>
  <c r="D411"/>
  <c r="C411" s="1"/>
  <c r="B411" s="1"/>
  <c r="D412"/>
  <c r="C412" s="1"/>
  <c r="B412" s="1"/>
  <c r="D413"/>
  <c r="C413" s="1"/>
  <c r="B413" s="1"/>
  <c r="D414"/>
  <c r="C414" s="1"/>
  <c r="B414" s="1"/>
  <c r="D415"/>
  <c r="C415" s="1"/>
  <c r="B415" s="1"/>
  <c r="D416"/>
  <c r="C416" s="1"/>
  <c r="B416" s="1"/>
  <c r="D417"/>
  <c r="C417" s="1"/>
  <c r="B417" s="1"/>
  <c r="D418"/>
  <c r="C418" s="1"/>
  <c r="B418" s="1"/>
  <c r="D419"/>
  <c r="C419" s="1"/>
  <c r="B419" s="1"/>
  <c r="D420"/>
  <c r="C420" s="1"/>
  <c r="B420" s="1"/>
  <c r="D421"/>
  <c r="C421" s="1"/>
  <c r="B421" s="1"/>
  <c r="D422"/>
  <c r="C422" s="1"/>
  <c r="B422" s="1"/>
  <c r="D423"/>
  <c r="C423" s="1"/>
  <c r="B423" s="1"/>
  <c r="D424"/>
  <c r="C424" s="1"/>
  <c r="B424" s="1"/>
  <c r="D425"/>
  <c r="C425" s="1"/>
  <c r="B425" s="1"/>
  <c r="D426"/>
  <c r="C426" s="1"/>
  <c r="B426" s="1"/>
  <c r="D427"/>
  <c r="C427" s="1"/>
  <c r="B427" s="1"/>
  <c r="D428"/>
  <c r="C428" s="1"/>
  <c r="B428" s="1"/>
  <c r="D429"/>
  <c r="C429" s="1"/>
  <c r="B429" s="1"/>
  <c r="D430"/>
  <c r="C430" s="1"/>
  <c r="B430" s="1"/>
  <c r="D431"/>
  <c r="C431" s="1"/>
  <c r="B431" s="1"/>
  <c r="D432"/>
  <c r="C432" s="1"/>
  <c r="B432" s="1"/>
  <c r="D433"/>
  <c r="C433" s="1"/>
  <c r="B433" s="1"/>
  <c r="D434"/>
  <c r="C434" s="1"/>
  <c r="B434" s="1"/>
  <c r="D435"/>
  <c r="C435" s="1"/>
  <c r="B435" s="1"/>
  <c r="D436"/>
  <c r="C436" s="1"/>
  <c r="B436" s="1"/>
  <c r="D437"/>
  <c r="C437" s="1"/>
  <c r="B437" s="1"/>
  <c r="D438"/>
  <c r="C438" s="1"/>
  <c r="B438" s="1"/>
  <c r="D439"/>
  <c r="C439" s="1"/>
  <c r="B439" s="1"/>
  <c r="D440"/>
  <c r="C440" s="1"/>
  <c r="B440" s="1"/>
  <c r="D441"/>
  <c r="C441" s="1"/>
  <c r="B441" s="1"/>
  <c r="D442"/>
  <c r="C442" s="1"/>
  <c r="B442" s="1"/>
  <c r="D443"/>
  <c r="C443" s="1"/>
  <c r="B443" s="1"/>
  <c r="D444"/>
  <c r="C444" s="1"/>
  <c r="B444" s="1"/>
  <c r="D445"/>
  <c r="C445" s="1"/>
  <c r="B445" s="1"/>
  <c r="D446"/>
  <c r="C446" s="1"/>
  <c r="B446" s="1"/>
  <c r="D447"/>
  <c r="C447" s="1"/>
  <c r="B447" s="1"/>
  <c r="D448"/>
  <c r="C448" s="1"/>
  <c r="B448" s="1"/>
  <c r="D449"/>
  <c r="C449" s="1"/>
  <c r="B449" s="1"/>
  <c r="D450"/>
  <c r="C450" s="1"/>
  <c r="B450" s="1"/>
  <c r="D451"/>
  <c r="C451" s="1"/>
  <c r="B451" s="1"/>
  <c r="D452"/>
  <c r="C452" s="1"/>
  <c r="B452" s="1"/>
  <c r="D453"/>
  <c r="C453" s="1"/>
  <c r="B453" s="1"/>
  <c r="D454"/>
  <c r="C454" s="1"/>
  <c r="B454" s="1"/>
  <c r="D455"/>
  <c r="C455" s="1"/>
  <c r="B455" s="1"/>
  <c r="D456"/>
  <c r="C456" s="1"/>
  <c r="B456" s="1"/>
  <c r="D457"/>
  <c r="C457" s="1"/>
  <c r="B457" s="1"/>
  <c r="D458"/>
  <c r="C458" s="1"/>
  <c r="B458" s="1"/>
  <c r="D459"/>
  <c r="C459" s="1"/>
  <c r="B459" s="1"/>
  <c r="D460"/>
  <c r="C460" s="1"/>
  <c r="B460" s="1"/>
  <c r="D461"/>
  <c r="C461" s="1"/>
  <c r="B461" s="1"/>
  <c r="D462"/>
  <c r="C462" s="1"/>
  <c r="B462" s="1"/>
  <c r="D463"/>
  <c r="C463" s="1"/>
  <c r="B463" s="1"/>
  <c r="D464"/>
  <c r="C464" s="1"/>
  <c r="B464" s="1"/>
  <c r="D465"/>
  <c r="C465" s="1"/>
  <c r="B465" s="1"/>
  <c r="D466"/>
  <c r="C466" s="1"/>
  <c r="B466" s="1"/>
  <c r="D467"/>
  <c r="C467" s="1"/>
  <c r="B467" s="1"/>
  <c r="D468"/>
  <c r="C468" s="1"/>
  <c r="B468" s="1"/>
  <c r="D469"/>
  <c r="C469" s="1"/>
  <c r="B469" s="1"/>
  <c r="D470"/>
  <c r="C470" s="1"/>
  <c r="B470" s="1"/>
  <c r="D471"/>
  <c r="C471" s="1"/>
  <c r="B471" s="1"/>
  <c r="D472"/>
  <c r="C472" s="1"/>
  <c r="B472" s="1"/>
  <c r="D473"/>
  <c r="C473" s="1"/>
  <c r="B473" s="1"/>
  <c r="D474"/>
  <c r="C474" s="1"/>
  <c r="B474" s="1"/>
  <c r="D475"/>
  <c r="C475" s="1"/>
  <c r="B475" s="1"/>
  <c r="D476"/>
  <c r="C476" s="1"/>
  <c r="B476" s="1"/>
  <c r="D477"/>
  <c r="C477" s="1"/>
  <c r="B477" s="1"/>
  <c r="D478"/>
  <c r="C478" s="1"/>
  <c r="B478" s="1"/>
  <c r="D479"/>
  <c r="C479" s="1"/>
  <c r="B479" s="1"/>
  <c r="D480"/>
  <c r="C480" s="1"/>
  <c r="B480" s="1"/>
  <c r="D481"/>
  <c r="C481" s="1"/>
  <c r="B481" s="1"/>
  <c r="D482"/>
  <c r="C482" s="1"/>
  <c r="B482" s="1"/>
  <c r="D483"/>
  <c r="C483" s="1"/>
  <c r="B483" s="1"/>
  <c r="D484"/>
  <c r="C484" s="1"/>
  <c r="B484" s="1"/>
  <c r="D485"/>
  <c r="C485" s="1"/>
  <c r="B485" s="1"/>
  <c r="D486"/>
  <c r="C486" s="1"/>
  <c r="B486" s="1"/>
  <c r="D487"/>
  <c r="C487" s="1"/>
  <c r="B487" s="1"/>
  <c r="D488"/>
  <c r="C488" s="1"/>
  <c r="B488" s="1"/>
  <c r="D489"/>
  <c r="C489" s="1"/>
  <c r="B489" s="1"/>
  <c r="D490"/>
  <c r="C490" s="1"/>
  <c r="B490" s="1"/>
  <c r="D491"/>
  <c r="C491" s="1"/>
  <c r="B491" s="1"/>
  <c r="D492"/>
  <c r="C492" s="1"/>
  <c r="B492" s="1"/>
  <c r="D493"/>
  <c r="C493" s="1"/>
  <c r="B493" s="1"/>
  <c r="D494"/>
  <c r="C494" s="1"/>
  <c r="B494" s="1"/>
  <c r="D495"/>
  <c r="C495" s="1"/>
  <c r="B495" s="1"/>
  <c r="D496"/>
  <c r="C496" s="1"/>
  <c r="B496" s="1"/>
  <c r="D497"/>
  <c r="C497" s="1"/>
  <c r="B497" s="1"/>
  <c r="D498"/>
  <c r="C498" s="1"/>
  <c r="B498" s="1"/>
  <c r="D499"/>
  <c r="C499" s="1"/>
  <c r="B499" s="1"/>
  <c r="D500"/>
  <c r="C500" s="1"/>
  <c r="B500" s="1"/>
  <c r="D501"/>
  <c r="C501" s="1"/>
  <c r="B501" s="1"/>
  <c r="D502"/>
  <c r="C502" s="1"/>
  <c r="B502" s="1"/>
  <c r="D503"/>
  <c r="C503" s="1"/>
  <c r="B503" s="1"/>
  <c r="D504"/>
  <c r="C504" s="1"/>
  <c r="B504" s="1"/>
  <c r="D505"/>
  <c r="C505" s="1"/>
  <c r="B505" s="1"/>
  <c r="D506"/>
  <c r="C506" s="1"/>
  <c r="B506" s="1"/>
  <c r="D507"/>
  <c r="C507" s="1"/>
  <c r="B507" s="1"/>
  <c r="D508"/>
  <c r="C508" s="1"/>
  <c r="B508" s="1"/>
  <c r="D509"/>
  <c r="C509" s="1"/>
  <c r="B509" s="1"/>
  <c r="D510"/>
  <c r="C510" s="1"/>
  <c r="B510" s="1"/>
  <c r="D511"/>
  <c r="C511" s="1"/>
  <c r="B511" s="1"/>
  <c r="D512"/>
  <c r="C512" s="1"/>
  <c r="B512" s="1"/>
  <c r="D513"/>
  <c r="C513" s="1"/>
  <c r="B513" s="1"/>
  <c r="D514"/>
  <c r="C514" s="1"/>
  <c r="B514" s="1"/>
  <c r="D515"/>
  <c r="C515" s="1"/>
  <c r="B515" s="1"/>
  <c r="D516"/>
  <c r="C516" s="1"/>
  <c r="B516" s="1"/>
  <c r="D517"/>
  <c r="C517" s="1"/>
  <c r="B517" s="1"/>
  <c r="D518"/>
  <c r="C518" s="1"/>
  <c r="B518" s="1"/>
  <c r="D519"/>
  <c r="C519" s="1"/>
  <c r="B519" s="1"/>
  <c r="D520"/>
  <c r="C520" s="1"/>
  <c r="B520" s="1"/>
  <c r="D521"/>
  <c r="C521" s="1"/>
  <c r="B521" s="1"/>
  <c r="D522"/>
  <c r="C522" s="1"/>
  <c r="B522" s="1"/>
  <c r="D523"/>
  <c r="C523" s="1"/>
  <c r="B523" s="1"/>
  <c r="D524"/>
  <c r="C524" s="1"/>
  <c r="B524" s="1"/>
  <c r="D525"/>
  <c r="C525" s="1"/>
  <c r="B525" s="1"/>
  <c r="D526"/>
  <c r="C526" s="1"/>
  <c r="B526" s="1"/>
  <c r="D527"/>
  <c r="C527" s="1"/>
  <c r="B527" s="1"/>
  <c r="D528"/>
  <c r="C528" s="1"/>
  <c r="B528" s="1"/>
  <c r="D529"/>
  <c r="C529" s="1"/>
  <c r="B529" s="1"/>
  <c r="D530"/>
  <c r="C530" s="1"/>
  <c r="B530" s="1"/>
  <c r="D531"/>
  <c r="C531" s="1"/>
  <c r="B531" s="1"/>
  <c r="D532"/>
  <c r="C532" s="1"/>
  <c r="B532" s="1"/>
  <c r="D533"/>
  <c r="C533" s="1"/>
  <c r="B533" s="1"/>
  <c r="D534"/>
  <c r="C534" s="1"/>
  <c r="B534" s="1"/>
  <c r="D535"/>
  <c r="C535" s="1"/>
  <c r="B535" s="1"/>
  <c r="D536"/>
  <c r="C536" s="1"/>
  <c r="B536" s="1"/>
  <c r="D537"/>
  <c r="C537" s="1"/>
  <c r="B537" s="1"/>
  <c r="D538"/>
  <c r="C538" s="1"/>
  <c r="B538" s="1"/>
  <c r="D539"/>
  <c r="C539" s="1"/>
  <c r="B539" s="1"/>
  <c r="D540"/>
  <c r="C540" s="1"/>
  <c r="B540" s="1"/>
  <c r="D541"/>
  <c r="C541" s="1"/>
  <c r="B541" s="1"/>
  <c r="D542"/>
  <c r="C542" s="1"/>
  <c r="B542" s="1"/>
  <c r="D543"/>
  <c r="C543" s="1"/>
  <c r="B543" s="1"/>
  <c r="D544"/>
  <c r="C544" s="1"/>
  <c r="B544" s="1"/>
  <c r="D545"/>
  <c r="C545" s="1"/>
  <c r="B545" s="1"/>
  <c r="D546"/>
  <c r="C546" s="1"/>
  <c r="B546" s="1"/>
  <c r="D547"/>
  <c r="C547" s="1"/>
  <c r="B547" s="1"/>
  <c r="D548"/>
  <c r="C548" s="1"/>
  <c r="B548" s="1"/>
  <c r="D549"/>
  <c r="C549" s="1"/>
  <c r="B549" s="1"/>
  <c r="D550"/>
  <c r="C550" s="1"/>
  <c r="B550" s="1"/>
  <c r="D551"/>
  <c r="C551" s="1"/>
  <c r="B551" s="1"/>
  <c r="D552"/>
  <c r="C552" s="1"/>
  <c r="B552" s="1"/>
  <c r="D553"/>
  <c r="C553" s="1"/>
  <c r="B553" s="1"/>
  <c r="D554"/>
  <c r="C554" s="1"/>
  <c r="B554" s="1"/>
  <c r="D555"/>
  <c r="C555" s="1"/>
  <c r="B555" s="1"/>
  <c r="D556"/>
  <c r="C556" s="1"/>
  <c r="B556" s="1"/>
  <c r="D557"/>
  <c r="C557" s="1"/>
  <c r="B557" s="1"/>
  <c r="D558"/>
  <c r="C558" s="1"/>
  <c r="B558" s="1"/>
  <c r="D559"/>
  <c r="C559" s="1"/>
  <c r="B559" s="1"/>
  <c r="D560"/>
  <c r="C560" s="1"/>
  <c r="B560" s="1"/>
  <c r="D561"/>
  <c r="C561" s="1"/>
  <c r="B561" s="1"/>
  <c r="D562"/>
  <c r="C562" s="1"/>
  <c r="B562" s="1"/>
  <c r="D563"/>
  <c r="C563" s="1"/>
  <c r="B563" s="1"/>
  <c r="D564"/>
  <c r="C564" s="1"/>
  <c r="B564" s="1"/>
  <c r="D565"/>
  <c r="C565" s="1"/>
  <c r="B565" s="1"/>
  <c r="D566"/>
  <c r="C566" s="1"/>
  <c r="B566" s="1"/>
  <c r="D567"/>
  <c r="C567" s="1"/>
  <c r="B567" s="1"/>
  <c r="D568"/>
  <c r="C568" s="1"/>
  <c r="B568" s="1"/>
  <c r="D569"/>
  <c r="C569" s="1"/>
  <c r="B569" s="1"/>
  <c r="D570"/>
  <c r="C570" s="1"/>
  <c r="B570" s="1"/>
  <c r="D571"/>
  <c r="C571" s="1"/>
  <c r="B571" s="1"/>
  <c r="D572"/>
  <c r="C572" s="1"/>
  <c r="B572" s="1"/>
  <c r="D573"/>
  <c r="C573" s="1"/>
  <c r="B573" s="1"/>
  <c r="D574"/>
  <c r="C574" s="1"/>
  <c r="B574" s="1"/>
  <c r="D575"/>
  <c r="C575" s="1"/>
  <c r="B575" s="1"/>
  <c r="D576"/>
  <c r="C576" s="1"/>
  <c r="B576" s="1"/>
  <c r="D577"/>
  <c r="C577" s="1"/>
  <c r="B577" s="1"/>
  <c r="D578"/>
  <c r="C578" s="1"/>
  <c r="B578" s="1"/>
  <c r="D579"/>
  <c r="C579" s="1"/>
  <c r="B579" s="1"/>
  <c r="D580"/>
  <c r="C580" s="1"/>
  <c r="B580" s="1"/>
  <c r="D581"/>
  <c r="C581" s="1"/>
  <c r="B581" s="1"/>
  <c r="D582"/>
  <c r="C582" s="1"/>
  <c r="B582" s="1"/>
  <c r="D583"/>
  <c r="C583" s="1"/>
  <c r="B583" s="1"/>
  <c r="D584"/>
  <c r="C584" s="1"/>
  <c r="B584" s="1"/>
  <c r="D585"/>
  <c r="C585" s="1"/>
  <c r="B585" s="1"/>
  <c r="D586"/>
  <c r="C586" s="1"/>
  <c r="B586" s="1"/>
  <c r="D587"/>
  <c r="C587" s="1"/>
  <c r="B587" s="1"/>
  <c r="D588"/>
  <c r="C588" s="1"/>
  <c r="B588" s="1"/>
  <c r="D589"/>
  <c r="C589" s="1"/>
  <c r="B589" s="1"/>
  <c r="D590"/>
  <c r="C590" s="1"/>
  <c r="B590" s="1"/>
  <c r="D591"/>
  <c r="C591" s="1"/>
  <c r="B591" s="1"/>
  <c r="D592"/>
  <c r="C592" s="1"/>
  <c r="B592" s="1"/>
  <c r="D593"/>
  <c r="C593" s="1"/>
  <c r="B593" s="1"/>
  <c r="D594"/>
  <c r="C594" s="1"/>
  <c r="B594" s="1"/>
  <c r="D595"/>
  <c r="C595" s="1"/>
  <c r="B595" s="1"/>
  <c r="D596"/>
  <c r="C596" s="1"/>
  <c r="B596" s="1"/>
  <c r="D597"/>
  <c r="C597" s="1"/>
  <c r="B597" s="1"/>
  <c r="D598"/>
  <c r="C598" s="1"/>
  <c r="B598" s="1"/>
  <c r="D599"/>
  <c r="C599" s="1"/>
  <c r="B599" s="1"/>
  <c r="D600"/>
  <c r="C600" s="1"/>
  <c r="B600" s="1"/>
  <c r="D601"/>
  <c r="C601" s="1"/>
  <c r="B601" s="1"/>
  <c r="D602"/>
  <c r="C602" s="1"/>
  <c r="B602" s="1"/>
  <c r="D603"/>
  <c r="C603" s="1"/>
  <c r="B603" s="1"/>
  <c r="D604"/>
  <c r="C604" s="1"/>
  <c r="B604" s="1"/>
  <c r="D605"/>
  <c r="C605" s="1"/>
  <c r="B605" s="1"/>
  <c r="D606"/>
  <c r="C606" s="1"/>
  <c r="B606" s="1"/>
  <c r="D607"/>
  <c r="C607" s="1"/>
  <c r="B607" s="1"/>
  <c r="D608"/>
  <c r="C608" s="1"/>
  <c r="B608" s="1"/>
  <c r="D609"/>
  <c r="C609" s="1"/>
  <c r="B609" s="1"/>
  <c r="D610"/>
  <c r="C610" s="1"/>
  <c r="B610" s="1"/>
  <c r="D611"/>
  <c r="C611" s="1"/>
  <c r="B611" s="1"/>
  <c r="D612"/>
  <c r="C612" s="1"/>
  <c r="B612" s="1"/>
  <c r="D613"/>
  <c r="C613" s="1"/>
  <c r="B613" s="1"/>
  <c r="D614"/>
  <c r="C614" s="1"/>
  <c r="B614" s="1"/>
  <c r="D615"/>
  <c r="C615" s="1"/>
  <c r="B615" s="1"/>
  <c r="D616"/>
  <c r="C616" s="1"/>
  <c r="B616" s="1"/>
  <c r="D617"/>
  <c r="C617" s="1"/>
  <c r="B617" s="1"/>
  <c r="D618"/>
  <c r="C618" s="1"/>
  <c r="B618" s="1"/>
  <c r="D619"/>
  <c r="C619" s="1"/>
  <c r="B619" s="1"/>
  <c r="D620"/>
  <c r="C620" s="1"/>
  <c r="B620" s="1"/>
  <c r="D621"/>
  <c r="C621" s="1"/>
  <c r="B621" s="1"/>
  <c r="D622"/>
  <c r="C622" s="1"/>
  <c r="B622" s="1"/>
  <c r="D623"/>
  <c r="C623" s="1"/>
  <c r="B623" s="1"/>
  <c r="D624"/>
  <c r="C624" s="1"/>
  <c r="B624" s="1"/>
  <c r="D625"/>
  <c r="C625" s="1"/>
  <c r="B625" s="1"/>
  <c r="D626"/>
  <c r="C626" s="1"/>
  <c r="B626" s="1"/>
  <c r="D627"/>
  <c r="C627" s="1"/>
  <c r="B627" s="1"/>
  <c r="D628"/>
  <c r="C628" s="1"/>
  <c r="B628" s="1"/>
  <c r="D629"/>
  <c r="C629" s="1"/>
  <c r="B629" s="1"/>
  <c r="D630"/>
  <c r="C630" s="1"/>
  <c r="B630" s="1"/>
  <c r="D631"/>
  <c r="C631" s="1"/>
  <c r="B631" s="1"/>
  <c r="D632"/>
  <c r="C632" s="1"/>
  <c r="B632" s="1"/>
  <c r="D633"/>
  <c r="C633" s="1"/>
  <c r="B633" s="1"/>
  <c r="D634"/>
  <c r="C634" s="1"/>
  <c r="B634" s="1"/>
  <c r="D635"/>
  <c r="C635" s="1"/>
  <c r="B635" s="1"/>
  <c r="D636"/>
  <c r="C636" s="1"/>
  <c r="B636" s="1"/>
  <c r="D637"/>
  <c r="C637" s="1"/>
  <c r="B637" s="1"/>
  <c r="D638"/>
  <c r="C638" s="1"/>
  <c r="B638" s="1"/>
  <c r="D639"/>
  <c r="C639" s="1"/>
  <c r="B639" s="1"/>
  <c r="D640"/>
  <c r="C640" s="1"/>
  <c r="B640" s="1"/>
  <c r="D641"/>
  <c r="C641" s="1"/>
  <c r="B641" s="1"/>
  <c r="D642"/>
  <c r="C642" s="1"/>
  <c r="B642" s="1"/>
  <c r="D643"/>
  <c r="C643" s="1"/>
  <c r="B643" s="1"/>
  <c r="D644"/>
  <c r="C644" s="1"/>
  <c r="B644" s="1"/>
  <c r="D645"/>
  <c r="C645" s="1"/>
  <c r="B645" s="1"/>
  <c r="D646"/>
  <c r="C646" s="1"/>
  <c r="B646" s="1"/>
  <c r="D647"/>
  <c r="C647" s="1"/>
  <c r="B647" s="1"/>
  <c r="D648"/>
  <c r="C648" s="1"/>
  <c r="B648" s="1"/>
  <c r="D649"/>
  <c r="C649" s="1"/>
  <c r="B649" s="1"/>
  <c r="D650"/>
  <c r="C650" s="1"/>
  <c r="B650" s="1"/>
  <c r="D651"/>
  <c r="C651" s="1"/>
  <c r="B651" s="1"/>
  <c r="D652"/>
  <c r="C652" s="1"/>
  <c r="B652" s="1"/>
  <c r="D653"/>
  <c r="C653" s="1"/>
  <c r="B653" s="1"/>
  <c r="D654"/>
  <c r="C654" s="1"/>
  <c r="B654" s="1"/>
  <c r="D655"/>
  <c r="C655" s="1"/>
  <c r="B655" s="1"/>
  <c r="D656"/>
  <c r="C656" s="1"/>
  <c r="B656" s="1"/>
  <c r="D657"/>
  <c r="C657" s="1"/>
  <c r="B657" s="1"/>
  <c r="D658"/>
  <c r="C658" s="1"/>
  <c r="B658" s="1"/>
  <c r="D659"/>
  <c r="C659" s="1"/>
  <c r="B659" s="1"/>
  <c r="D660"/>
  <c r="C660" s="1"/>
  <c r="B660" s="1"/>
  <c r="D661"/>
  <c r="C661" s="1"/>
  <c r="B661" s="1"/>
  <c r="D662"/>
  <c r="C662" s="1"/>
  <c r="B662" s="1"/>
  <c r="D663"/>
  <c r="C663" s="1"/>
  <c r="B663" s="1"/>
  <c r="D664"/>
  <c r="C664" s="1"/>
  <c r="B664" s="1"/>
  <c r="D665"/>
  <c r="C665" s="1"/>
  <c r="B665" s="1"/>
  <c r="D666"/>
  <c r="C666" s="1"/>
  <c r="B666" s="1"/>
  <c r="D667"/>
  <c r="C667" s="1"/>
  <c r="B667" s="1"/>
  <c r="D668"/>
  <c r="C668" s="1"/>
  <c r="B668" s="1"/>
  <c r="D669"/>
  <c r="C669" s="1"/>
  <c r="B669" s="1"/>
  <c r="D670"/>
  <c r="C670" s="1"/>
  <c r="B670" s="1"/>
  <c r="D671"/>
  <c r="C671" s="1"/>
  <c r="B671" s="1"/>
  <c r="D672"/>
  <c r="C672" s="1"/>
  <c r="B672" s="1"/>
  <c r="D673"/>
  <c r="C673" s="1"/>
  <c r="B673" s="1"/>
  <c r="D674"/>
  <c r="C674" s="1"/>
  <c r="B674" s="1"/>
  <c r="D675"/>
  <c r="C675" s="1"/>
  <c r="B675" s="1"/>
  <c r="D676"/>
  <c r="C676" s="1"/>
  <c r="B676" s="1"/>
  <c r="D677"/>
  <c r="C677" s="1"/>
  <c r="B677" s="1"/>
  <c r="D678"/>
  <c r="C678" s="1"/>
  <c r="B678" s="1"/>
  <c r="D679"/>
  <c r="C679" s="1"/>
  <c r="B679" s="1"/>
  <c r="D680"/>
  <c r="C680" s="1"/>
  <c r="B680" s="1"/>
  <c r="D681"/>
  <c r="C681" s="1"/>
  <c r="B681" s="1"/>
  <c r="D682"/>
  <c r="C682" s="1"/>
  <c r="B682" s="1"/>
  <c r="D683"/>
  <c r="C683" s="1"/>
  <c r="B683" s="1"/>
  <c r="D684"/>
  <c r="C684" s="1"/>
  <c r="B684" s="1"/>
  <c r="D685"/>
  <c r="C685" s="1"/>
  <c r="B685" s="1"/>
  <c r="D686"/>
  <c r="C686" s="1"/>
  <c r="B686" s="1"/>
  <c r="D687"/>
  <c r="C687" s="1"/>
  <c r="B687" s="1"/>
  <c r="D688"/>
  <c r="C688" s="1"/>
  <c r="B688" s="1"/>
  <c r="D689"/>
  <c r="C689" s="1"/>
  <c r="B689" s="1"/>
  <c r="D690"/>
  <c r="C690" s="1"/>
  <c r="B690" s="1"/>
  <c r="D691"/>
  <c r="C691" s="1"/>
  <c r="B691" s="1"/>
  <c r="D692"/>
  <c r="C692" s="1"/>
  <c r="B692" s="1"/>
  <c r="D693"/>
  <c r="C693" s="1"/>
  <c r="B693" s="1"/>
  <c r="D694"/>
  <c r="C694" s="1"/>
  <c r="B694" s="1"/>
  <c r="D695"/>
  <c r="C695" s="1"/>
  <c r="B695" s="1"/>
  <c r="D696"/>
  <c r="C696" s="1"/>
  <c r="B696" s="1"/>
  <c r="D697"/>
  <c r="C697" s="1"/>
  <c r="B697" s="1"/>
  <c r="D698"/>
  <c r="C698" s="1"/>
  <c r="B698" s="1"/>
  <c r="D699"/>
  <c r="C699" s="1"/>
  <c r="B699" s="1"/>
  <c r="D700"/>
  <c r="C700" s="1"/>
  <c r="B700" s="1"/>
  <c r="D701"/>
  <c r="C701" s="1"/>
  <c r="B701" s="1"/>
  <c r="D702"/>
  <c r="C702" s="1"/>
  <c r="B702" s="1"/>
  <c r="D703"/>
  <c r="C703" s="1"/>
  <c r="B703" s="1"/>
  <c r="D704"/>
  <c r="C704" s="1"/>
  <c r="B704" s="1"/>
  <c r="D705"/>
  <c r="C705" s="1"/>
  <c r="B705" s="1"/>
  <c r="D706"/>
  <c r="C706" s="1"/>
  <c r="B706" s="1"/>
  <c r="D707"/>
  <c r="C707" s="1"/>
  <c r="B707" s="1"/>
  <c r="D708"/>
  <c r="C708" s="1"/>
  <c r="B708" s="1"/>
  <c r="D709"/>
  <c r="C709" s="1"/>
  <c r="B709" s="1"/>
  <c r="D710"/>
  <c r="C710" s="1"/>
  <c r="B710" s="1"/>
  <c r="D711"/>
  <c r="C711" s="1"/>
  <c r="B711" s="1"/>
  <c r="D712"/>
  <c r="C712" s="1"/>
  <c r="B712" s="1"/>
  <c r="D713"/>
  <c r="C713" s="1"/>
  <c r="B713" s="1"/>
  <c r="D714"/>
  <c r="C714" s="1"/>
  <c r="B714" s="1"/>
  <c r="D715"/>
  <c r="C715" s="1"/>
  <c r="B715" s="1"/>
  <c r="D716"/>
  <c r="C716" s="1"/>
  <c r="B716" s="1"/>
  <c r="D717"/>
  <c r="C717" s="1"/>
  <c r="B717" s="1"/>
  <c r="D718"/>
  <c r="C718" s="1"/>
  <c r="B718" s="1"/>
  <c r="D719"/>
  <c r="C719" s="1"/>
  <c r="B719" s="1"/>
  <c r="D720"/>
  <c r="C720" s="1"/>
  <c r="B720" s="1"/>
  <c r="D721"/>
  <c r="C721" s="1"/>
  <c r="B721" s="1"/>
  <c r="D722"/>
  <c r="C722" s="1"/>
  <c r="B722" s="1"/>
  <c r="D723"/>
  <c r="C723" s="1"/>
  <c r="B723" s="1"/>
  <c r="D724"/>
  <c r="C724" s="1"/>
  <c r="B724" s="1"/>
  <c r="D725"/>
  <c r="C725" s="1"/>
  <c r="B725" s="1"/>
  <c r="D726"/>
  <c r="C726" s="1"/>
  <c r="B726" s="1"/>
  <c r="D727"/>
  <c r="C727" s="1"/>
  <c r="B727" s="1"/>
  <c r="D728"/>
  <c r="C728" s="1"/>
  <c r="B728" s="1"/>
  <c r="D729"/>
  <c r="C729" s="1"/>
  <c r="B729" s="1"/>
  <c r="D730"/>
  <c r="C730" s="1"/>
  <c r="B730" s="1"/>
  <c r="D731"/>
  <c r="C731" s="1"/>
  <c r="B731" s="1"/>
  <c r="D732"/>
  <c r="C732" s="1"/>
  <c r="B732" s="1"/>
  <c r="D733"/>
  <c r="C733" s="1"/>
  <c r="B733" s="1"/>
  <c r="D734"/>
  <c r="C734" s="1"/>
  <c r="B734" s="1"/>
  <c r="D735"/>
  <c r="C735" s="1"/>
  <c r="B735" s="1"/>
  <c r="D736"/>
  <c r="C736" s="1"/>
  <c r="B736" s="1"/>
  <c r="D737"/>
  <c r="C737" s="1"/>
  <c r="B737" s="1"/>
  <c r="D738"/>
  <c r="C738" s="1"/>
  <c r="B738" s="1"/>
  <c r="D739"/>
  <c r="C739" s="1"/>
  <c r="B739" s="1"/>
  <c r="D740"/>
  <c r="C740" s="1"/>
  <c r="B740" s="1"/>
  <c r="D741"/>
  <c r="C741" s="1"/>
  <c r="B741" s="1"/>
  <c r="D742"/>
  <c r="C742" s="1"/>
  <c r="B742" s="1"/>
  <c r="D743"/>
  <c r="C743" s="1"/>
  <c r="B743" s="1"/>
  <c r="D744"/>
  <c r="C744" s="1"/>
  <c r="B744" s="1"/>
  <c r="D745"/>
  <c r="C745" s="1"/>
  <c r="B745" s="1"/>
  <c r="D746"/>
  <c r="C746" s="1"/>
  <c r="B746" s="1"/>
  <c r="D747"/>
  <c r="C747" s="1"/>
  <c r="B747" s="1"/>
  <c r="D748"/>
  <c r="C748" s="1"/>
  <c r="B748" s="1"/>
  <c r="D749"/>
  <c r="C749" s="1"/>
  <c r="B749" s="1"/>
  <c r="D750"/>
  <c r="C750" s="1"/>
  <c r="B750" s="1"/>
  <c r="D751"/>
  <c r="C751" s="1"/>
  <c r="B751" s="1"/>
  <c r="D752"/>
  <c r="C752" s="1"/>
  <c r="B752" s="1"/>
  <c r="D753"/>
  <c r="C753" s="1"/>
  <c r="B753" s="1"/>
  <c r="D754"/>
  <c r="C754" s="1"/>
  <c r="B754" s="1"/>
  <c r="D755"/>
  <c r="C755" s="1"/>
  <c r="B755" s="1"/>
  <c r="D756"/>
  <c r="C756" s="1"/>
  <c r="B756" s="1"/>
  <c r="D757"/>
  <c r="C757" s="1"/>
  <c r="B757" s="1"/>
  <c r="D758"/>
  <c r="C758" s="1"/>
  <c r="B758" s="1"/>
  <c r="D759"/>
  <c r="C759" s="1"/>
  <c r="B759" s="1"/>
  <c r="D760"/>
  <c r="C760" s="1"/>
  <c r="B760" s="1"/>
  <c r="D761"/>
  <c r="C761" s="1"/>
  <c r="B761" s="1"/>
  <c r="D762"/>
  <c r="C762" s="1"/>
  <c r="B762" s="1"/>
  <c r="D763"/>
  <c r="C763" s="1"/>
  <c r="B763" s="1"/>
  <c r="D764"/>
  <c r="C764" s="1"/>
  <c r="B764" s="1"/>
  <c r="D765"/>
  <c r="C765" s="1"/>
  <c r="B765" s="1"/>
  <c r="D766"/>
  <c r="C766" s="1"/>
  <c r="B766" s="1"/>
  <c r="D767"/>
  <c r="C767" s="1"/>
  <c r="B767" s="1"/>
  <c r="D768"/>
  <c r="C768" s="1"/>
  <c r="B768" s="1"/>
  <c r="D769"/>
  <c r="C769" s="1"/>
  <c r="B769" s="1"/>
  <c r="D770"/>
  <c r="C770" s="1"/>
  <c r="B770" s="1"/>
  <c r="D771"/>
  <c r="C771" s="1"/>
  <c r="B771" s="1"/>
  <c r="D772"/>
  <c r="C772" s="1"/>
  <c r="B772" s="1"/>
  <c r="D773"/>
  <c r="C773" s="1"/>
  <c r="B773" s="1"/>
  <c r="D774"/>
  <c r="C774" s="1"/>
  <c r="B774" s="1"/>
  <c r="D775"/>
  <c r="C775" s="1"/>
  <c r="B775" s="1"/>
  <c r="D776"/>
  <c r="C776" s="1"/>
  <c r="B776" s="1"/>
  <c r="D777"/>
  <c r="C777" s="1"/>
  <c r="B777" s="1"/>
  <c r="D778"/>
  <c r="C778" s="1"/>
  <c r="B778" s="1"/>
  <c r="D779"/>
  <c r="C779" s="1"/>
  <c r="B779" s="1"/>
  <c r="D780"/>
  <c r="C780" s="1"/>
  <c r="B780" s="1"/>
  <c r="D781"/>
  <c r="C781" s="1"/>
  <c r="B781" s="1"/>
  <c r="D782"/>
  <c r="C782" s="1"/>
  <c r="B782" s="1"/>
  <c r="D783"/>
  <c r="C783" s="1"/>
  <c r="B783" s="1"/>
  <c r="D784"/>
  <c r="C784" s="1"/>
  <c r="B784" s="1"/>
  <c r="D785"/>
  <c r="C785" s="1"/>
  <c r="B785" s="1"/>
  <c r="D786"/>
  <c r="C786" s="1"/>
  <c r="B786" s="1"/>
  <c r="D787"/>
  <c r="C787" s="1"/>
  <c r="B787" s="1"/>
  <c r="D788"/>
  <c r="C788" s="1"/>
  <c r="B788" s="1"/>
  <c r="D789"/>
  <c r="C789" s="1"/>
  <c r="B789" s="1"/>
  <c r="D790"/>
  <c r="C790" s="1"/>
  <c r="B790" s="1"/>
  <c r="D791"/>
  <c r="C791" s="1"/>
  <c r="B791" s="1"/>
  <c r="D792"/>
  <c r="C792" s="1"/>
  <c r="B792" s="1"/>
  <c r="D793"/>
  <c r="C793" s="1"/>
  <c r="B793" s="1"/>
  <c r="D794"/>
  <c r="C794" s="1"/>
  <c r="B794" s="1"/>
  <c r="D795"/>
  <c r="C795" s="1"/>
  <c r="B795" s="1"/>
  <c r="D796"/>
  <c r="C796" s="1"/>
  <c r="B796" s="1"/>
  <c r="D797"/>
  <c r="C797" s="1"/>
  <c r="B797" s="1"/>
  <c r="D798"/>
  <c r="C798" s="1"/>
  <c r="B798" s="1"/>
  <c r="D799"/>
  <c r="C799" s="1"/>
  <c r="B799" s="1"/>
  <c r="D800"/>
  <c r="C800" s="1"/>
  <c r="B800" s="1"/>
  <c r="D801"/>
  <c r="C801" s="1"/>
  <c r="B801" s="1"/>
  <c r="D802"/>
  <c r="C802" s="1"/>
  <c r="B802" s="1"/>
  <c r="D803"/>
  <c r="C803" s="1"/>
  <c r="B803" s="1"/>
  <c r="D804"/>
  <c r="C804" s="1"/>
  <c r="B804" s="1"/>
  <c r="D805"/>
  <c r="C805" s="1"/>
  <c r="B805" s="1"/>
  <c r="D806"/>
  <c r="C806" s="1"/>
  <c r="B806" s="1"/>
  <c r="D807"/>
  <c r="C807" s="1"/>
  <c r="B807" s="1"/>
  <c r="D808"/>
  <c r="C808" s="1"/>
  <c r="B808" s="1"/>
  <c r="D809"/>
  <c r="C809" s="1"/>
  <c r="B809" s="1"/>
  <c r="D810"/>
  <c r="C810" s="1"/>
  <c r="B810" s="1"/>
  <c r="D811"/>
  <c r="C811" s="1"/>
  <c r="B811" s="1"/>
  <c r="D812"/>
  <c r="C812" s="1"/>
  <c r="B812" s="1"/>
  <c r="D813"/>
  <c r="C813" s="1"/>
  <c r="B813" s="1"/>
  <c r="D814"/>
  <c r="C814" s="1"/>
  <c r="B814" s="1"/>
  <c r="D815"/>
  <c r="C815" s="1"/>
  <c r="B815" s="1"/>
  <c r="D816"/>
  <c r="C816" s="1"/>
  <c r="B816" s="1"/>
  <c r="D817"/>
  <c r="C817" s="1"/>
  <c r="B817" s="1"/>
  <c r="D818"/>
  <c r="C818" s="1"/>
  <c r="B818" s="1"/>
  <c r="D819"/>
  <c r="C819" s="1"/>
  <c r="B819" s="1"/>
  <c r="D820"/>
  <c r="C820" s="1"/>
  <c r="B820" s="1"/>
  <c r="D821"/>
  <c r="C821" s="1"/>
  <c r="B821" s="1"/>
  <c r="D822"/>
  <c r="C822" s="1"/>
  <c r="B822" s="1"/>
  <c r="D823"/>
  <c r="C823" s="1"/>
  <c r="B823" s="1"/>
  <c r="D824"/>
  <c r="C824" s="1"/>
  <c r="B824" s="1"/>
  <c r="D825"/>
  <c r="C825" s="1"/>
  <c r="B825" s="1"/>
  <c r="D826"/>
  <c r="C826" s="1"/>
  <c r="B826" s="1"/>
  <c r="D827"/>
  <c r="C827" s="1"/>
  <c r="B827" s="1"/>
  <c r="D828"/>
  <c r="C828" s="1"/>
  <c r="B828" s="1"/>
  <c r="D829"/>
  <c r="C829" s="1"/>
  <c r="B829" s="1"/>
  <c r="D830"/>
  <c r="C830" s="1"/>
  <c r="B830" s="1"/>
  <c r="D831"/>
  <c r="C831" s="1"/>
  <c r="B831" s="1"/>
  <c r="D832"/>
  <c r="C832" s="1"/>
  <c r="B832" s="1"/>
  <c r="D833"/>
  <c r="C833" s="1"/>
  <c r="B833" s="1"/>
  <c r="D834"/>
  <c r="C834" s="1"/>
  <c r="B834" s="1"/>
  <c r="D835"/>
  <c r="C835" s="1"/>
  <c r="B835" s="1"/>
  <c r="D836"/>
  <c r="C836" s="1"/>
  <c r="B836" s="1"/>
  <c r="D837"/>
  <c r="C837" s="1"/>
  <c r="B837" s="1"/>
  <c r="D838"/>
  <c r="C838" s="1"/>
  <c r="B838" s="1"/>
  <c r="D839"/>
  <c r="C839" s="1"/>
  <c r="B839" s="1"/>
  <c r="D840"/>
  <c r="C840" s="1"/>
  <c r="B840" s="1"/>
  <c r="D841"/>
  <c r="C841" s="1"/>
  <c r="B841" s="1"/>
  <c r="D842"/>
  <c r="C842" s="1"/>
  <c r="B842" s="1"/>
  <c r="D843"/>
  <c r="C843" s="1"/>
  <c r="B843" s="1"/>
  <c r="D844"/>
  <c r="C844" s="1"/>
  <c r="B844" s="1"/>
  <c r="D845"/>
  <c r="C845" s="1"/>
  <c r="B845" s="1"/>
  <c r="D846"/>
  <c r="C846" s="1"/>
  <c r="B846" s="1"/>
  <c r="D847"/>
  <c r="C847" s="1"/>
  <c r="B847" s="1"/>
  <c r="D848"/>
  <c r="C848" s="1"/>
  <c r="B848" s="1"/>
  <c r="D849"/>
  <c r="C849" s="1"/>
  <c r="B849" s="1"/>
  <c r="D850"/>
  <c r="C850" s="1"/>
  <c r="B850" s="1"/>
  <c r="D851"/>
  <c r="C851" s="1"/>
  <c r="B851" s="1"/>
  <c r="D852"/>
  <c r="C852" s="1"/>
  <c r="B852" s="1"/>
  <c r="D853"/>
  <c r="C853" s="1"/>
  <c r="B853" s="1"/>
  <c r="D854"/>
  <c r="C854" s="1"/>
  <c r="B854" s="1"/>
  <c r="D855"/>
  <c r="C855" s="1"/>
  <c r="B855" s="1"/>
  <c r="D856"/>
  <c r="C856" s="1"/>
  <c r="B856" s="1"/>
  <c r="D857"/>
  <c r="C857" s="1"/>
  <c r="B857" s="1"/>
  <c r="D858"/>
  <c r="C858" s="1"/>
  <c r="B858" s="1"/>
  <c r="D859"/>
  <c r="C859" s="1"/>
  <c r="B859" s="1"/>
  <c r="D860"/>
  <c r="C860" s="1"/>
  <c r="B860" s="1"/>
  <c r="D861"/>
  <c r="C861" s="1"/>
  <c r="B861" s="1"/>
  <c r="D862"/>
  <c r="C862" s="1"/>
  <c r="B862" s="1"/>
  <c r="D863"/>
  <c r="C863" s="1"/>
  <c r="B863" s="1"/>
  <c r="D864"/>
  <c r="C864" s="1"/>
  <c r="B864" s="1"/>
  <c r="D865"/>
  <c r="C865" s="1"/>
  <c r="B865" s="1"/>
  <c r="D866"/>
  <c r="C866" s="1"/>
  <c r="B866" s="1"/>
  <c r="D867"/>
  <c r="C867" s="1"/>
  <c r="B867" s="1"/>
  <c r="D868"/>
  <c r="C868" s="1"/>
  <c r="B868" s="1"/>
  <c r="D869"/>
  <c r="C869" s="1"/>
  <c r="B869" s="1"/>
  <c r="D870"/>
  <c r="C870" s="1"/>
  <c r="B870" s="1"/>
  <c r="D871"/>
  <c r="C871" s="1"/>
  <c r="B871" s="1"/>
  <c r="D872"/>
  <c r="C872" s="1"/>
  <c r="B872" s="1"/>
  <c r="D873"/>
  <c r="C873" s="1"/>
  <c r="B873" s="1"/>
  <c r="D874"/>
  <c r="C874" s="1"/>
  <c r="B874" s="1"/>
  <c r="D875"/>
  <c r="C875" s="1"/>
  <c r="B875" s="1"/>
  <c r="D876"/>
  <c r="C876" s="1"/>
  <c r="B876" s="1"/>
  <c r="D877"/>
  <c r="C877" s="1"/>
  <c r="B877" s="1"/>
  <c r="D878"/>
  <c r="C878" s="1"/>
  <c r="B878" s="1"/>
  <c r="D879"/>
  <c r="C879" s="1"/>
  <c r="B879" s="1"/>
  <c r="D880"/>
  <c r="C880" s="1"/>
  <c r="B880" s="1"/>
  <c r="D881"/>
  <c r="C881" s="1"/>
  <c r="B881" s="1"/>
  <c r="D882"/>
  <c r="C882" s="1"/>
  <c r="B882" s="1"/>
  <c r="D883"/>
  <c r="C883" s="1"/>
  <c r="B883" s="1"/>
  <c r="D884"/>
  <c r="C884" s="1"/>
  <c r="B884" s="1"/>
  <c r="D885"/>
  <c r="C885" s="1"/>
  <c r="B885" s="1"/>
  <c r="D886"/>
  <c r="C886" s="1"/>
  <c r="B886" s="1"/>
  <c r="D887"/>
  <c r="C887" s="1"/>
  <c r="B887" s="1"/>
  <c r="D888"/>
  <c r="C888" s="1"/>
  <c r="B888" s="1"/>
  <c r="D889"/>
  <c r="C889" s="1"/>
  <c r="B889" s="1"/>
  <c r="D890"/>
  <c r="C890" s="1"/>
  <c r="B890" s="1"/>
  <c r="D891"/>
  <c r="C891" s="1"/>
  <c r="B891" s="1"/>
  <c r="D892"/>
  <c r="C892" s="1"/>
  <c r="B892" s="1"/>
  <c r="D893"/>
  <c r="C893" s="1"/>
  <c r="B893" s="1"/>
  <c r="D894"/>
  <c r="C894" s="1"/>
  <c r="B894" s="1"/>
  <c r="D895"/>
  <c r="C895" s="1"/>
  <c r="B895" s="1"/>
  <c r="D896"/>
  <c r="C896" s="1"/>
  <c r="B896" s="1"/>
  <c r="D897"/>
  <c r="C897" s="1"/>
  <c r="B897" s="1"/>
  <c r="D898"/>
  <c r="C898" s="1"/>
  <c r="B898" s="1"/>
  <c r="D899"/>
  <c r="C899" s="1"/>
  <c r="B899" s="1"/>
  <c r="D900"/>
  <c r="C900" s="1"/>
  <c r="B900" s="1"/>
  <c r="D901"/>
  <c r="C901" s="1"/>
  <c r="B901" s="1"/>
  <c r="D902"/>
  <c r="C902" s="1"/>
  <c r="B902" s="1"/>
  <c r="D903"/>
  <c r="C903" s="1"/>
  <c r="B903" s="1"/>
  <c r="D904"/>
  <c r="C904" s="1"/>
  <c r="B904" s="1"/>
  <c r="D905"/>
  <c r="C905" s="1"/>
  <c r="B905" s="1"/>
  <c r="D906"/>
  <c r="C906" s="1"/>
  <c r="B906" s="1"/>
  <c r="D907"/>
  <c r="C907" s="1"/>
  <c r="B907" s="1"/>
  <c r="D908"/>
  <c r="C908" s="1"/>
  <c r="B908" s="1"/>
  <c r="D909"/>
  <c r="C909" s="1"/>
  <c r="B909" s="1"/>
  <c r="D910"/>
  <c r="C910" s="1"/>
  <c r="B910" s="1"/>
  <c r="D911"/>
  <c r="C911" s="1"/>
  <c r="B911" s="1"/>
  <c r="D912"/>
  <c r="C912" s="1"/>
  <c r="B912" s="1"/>
  <c r="D913"/>
  <c r="C913" s="1"/>
  <c r="B913" s="1"/>
  <c r="D914"/>
  <c r="C914" s="1"/>
  <c r="B914" s="1"/>
  <c r="D915"/>
  <c r="C915" s="1"/>
  <c r="B915" s="1"/>
  <c r="D916"/>
  <c r="C916" s="1"/>
  <c r="B916" s="1"/>
  <c r="D917"/>
  <c r="C917" s="1"/>
  <c r="B917" s="1"/>
  <c r="D918"/>
  <c r="C918" s="1"/>
  <c r="B918" s="1"/>
  <c r="D919"/>
  <c r="C919" s="1"/>
  <c r="B919" s="1"/>
  <c r="D920"/>
  <c r="C920" s="1"/>
  <c r="B920" s="1"/>
  <c r="D921"/>
  <c r="C921" s="1"/>
  <c r="B921" s="1"/>
  <c r="D922"/>
  <c r="C922" s="1"/>
  <c r="B922" s="1"/>
  <c r="D923"/>
  <c r="C923" s="1"/>
  <c r="B923" s="1"/>
  <c r="D924"/>
  <c r="C924" s="1"/>
  <c r="B924" s="1"/>
  <c r="D925"/>
  <c r="C925" s="1"/>
  <c r="B925" s="1"/>
  <c r="D926"/>
  <c r="C926" s="1"/>
  <c r="B926" s="1"/>
  <c r="D927"/>
  <c r="C927" s="1"/>
  <c r="B927" s="1"/>
  <c r="D928"/>
  <c r="C928" s="1"/>
  <c r="B928" s="1"/>
  <c r="D929"/>
  <c r="C929" s="1"/>
  <c r="B929" s="1"/>
  <c r="D930"/>
  <c r="C930" s="1"/>
  <c r="B930" s="1"/>
  <c r="D931"/>
  <c r="C931" s="1"/>
  <c r="B931" s="1"/>
  <c r="D932"/>
  <c r="C932" s="1"/>
  <c r="B932" s="1"/>
  <c r="D933"/>
  <c r="C933" s="1"/>
  <c r="B933" s="1"/>
  <c r="D934"/>
  <c r="C934" s="1"/>
  <c r="B934" s="1"/>
  <c r="D935"/>
  <c r="C935" s="1"/>
  <c r="B935" s="1"/>
  <c r="D936"/>
  <c r="C936" s="1"/>
  <c r="B936" s="1"/>
  <c r="D937"/>
  <c r="C937" s="1"/>
  <c r="B937" s="1"/>
  <c r="D938"/>
  <c r="C938" s="1"/>
  <c r="B938" s="1"/>
  <c r="D939"/>
  <c r="C939" s="1"/>
  <c r="B939" s="1"/>
  <c r="D940"/>
  <c r="C940" s="1"/>
  <c r="B940" s="1"/>
  <c r="D941"/>
  <c r="C941" s="1"/>
  <c r="B941" s="1"/>
  <c r="D942"/>
  <c r="C942" s="1"/>
  <c r="B942" s="1"/>
  <c r="D943"/>
  <c r="C943" s="1"/>
  <c r="B943" s="1"/>
  <c r="D944"/>
  <c r="C944" s="1"/>
  <c r="B944" s="1"/>
  <c r="D945"/>
  <c r="C945" s="1"/>
  <c r="B945" s="1"/>
  <c r="D946"/>
  <c r="C946" s="1"/>
  <c r="B946" s="1"/>
  <c r="D947"/>
  <c r="C947" s="1"/>
  <c r="B947" s="1"/>
  <c r="D948"/>
  <c r="C948" s="1"/>
  <c r="B948" s="1"/>
  <c r="D949"/>
  <c r="C949" s="1"/>
  <c r="B949" s="1"/>
  <c r="D950"/>
  <c r="C950" s="1"/>
  <c r="B950" s="1"/>
  <c r="D951"/>
  <c r="C951" s="1"/>
  <c r="B951" s="1"/>
  <c r="D952"/>
  <c r="C952" s="1"/>
  <c r="B952" s="1"/>
  <c r="D953"/>
  <c r="C953" s="1"/>
  <c r="B953" s="1"/>
  <c r="D954"/>
  <c r="C954" s="1"/>
  <c r="B954" s="1"/>
  <c r="D955"/>
  <c r="C955" s="1"/>
  <c r="B955" s="1"/>
  <c r="D956"/>
  <c r="C956" s="1"/>
  <c r="B956" s="1"/>
  <c r="D957"/>
  <c r="C957" s="1"/>
  <c r="B957" s="1"/>
  <c r="D958"/>
  <c r="C958" s="1"/>
  <c r="B958" s="1"/>
  <c r="D959"/>
  <c r="C959" s="1"/>
  <c r="B959" s="1"/>
  <c r="D960"/>
  <c r="C960" s="1"/>
  <c r="B960" s="1"/>
  <c r="D961"/>
  <c r="C961" s="1"/>
  <c r="B961" s="1"/>
  <c r="D962"/>
  <c r="C962" s="1"/>
  <c r="B962" s="1"/>
  <c r="D963"/>
  <c r="C963" s="1"/>
  <c r="B963" s="1"/>
  <c r="D964"/>
  <c r="C964" s="1"/>
  <c r="B964" s="1"/>
  <c r="D965"/>
  <c r="C965" s="1"/>
  <c r="B965" s="1"/>
  <c r="D966"/>
  <c r="C966" s="1"/>
  <c r="B966" s="1"/>
  <c r="D967"/>
  <c r="C967" s="1"/>
  <c r="B967" s="1"/>
  <c r="D968"/>
  <c r="C968" s="1"/>
  <c r="B968" s="1"/>
  <c r="D969"/>
  <c r="C969" s="1"/>
  <c r="B969" s="1"/>
  <c r="D970"/>
  <c r="C970" s="1"/>
  <c r="B970" s="1"/>
  <c r="D971"/>
  <c r="C971" s="1"/>
  <c r="B971" s="1"/>
  <c r="D972"/>
  <c r="C972" s="1"/>
  <c r="B972" s="1"/>
  <c r="D973"/>
  <c r="C973" s="1"/>
  <c r="B973" s="1"/>
  <c r="D974"/>
  <c r="C974" s="1"/>
  <c r="B974" s="1"/>
  <c r="D975"/>
  <c r="C975" s="1"/>
  <c r="B975" s="1"/>
  <c r="D976"/>
  <c r="C976" s="1"/>
  <c r="B976" s="1"/>
  <c r="D977"/>
  <c r="C977" s="1"/>
  <c r="B977" s="1"/>
  <c r="D978"/>
  <c r="C978" s="1"/>
  <c r="B978" s="1"/>
  <c r="D979"/>
  <c r="C979" s="1"/>
  <c r="B979" s="1"/>
  <c r="D980"/>
  <c r="C980" s="1"/>
  <c r="B980" s="1"/>
  <c r="D981"/>
  <c r="C981" s="1"/>
  <c r="B981" s="1"/>
  <c r="D982"/>
  <c r="C982" s="1"/>
  <c r="B982" s="1"/>
  <c r="D983"/>
  <c r="C983" s="1"/>
  <c r="B983" s="1"/>
  <c r="D984"/>
  <c r="C984" s="1"/>
  <c r="B984" s="1"/>
  <c r="D985"/>
  <c r="C985" s="1"/>
  <c r="B985" s="1"/>
  <c r="D986"/>
  <c r="C986" s="1"/>
  <c r="B986" s="1"/>
  <c r="D987"/>
  <c r="C987" s="1"/>
  <c r="B987" s="1"/>
  <c r="D988"/>
  <c r="C988" s="1"/>
  <c r="B988" s="1"/>
  <c r="D989"/>
  <c r="C989" s="1"/>
  <c r="B989" s="1"/>
  <c r="D990"/>
  <c r="C990" s="1"/>
  <c r="B990" s="1"/>
  <c r="D991"/>
  <c r="C991" s="1"/>
  <c r="B991" s="1"/>
  <c r="D992"/>
  <c r="C992" s="1"/>
  <c r="B992" s="1"/>
  <c r="D993"/>
  <c r="C993" s="1"/>
  <c r="B993" s="1"/>
  <c r="D994"/>
  <c r="C994" s="1"/>
  <c r="B994" s="1"/>
  <c r="D995"/>
  <c r="C995" s="1"/>
  <c r="B995" s="1"/>
  <c r="D996"/>
  <c r="C996" s="1"/>
  <c r="B996" s="1"/>
  <c r="D997"/>
  <c r="C997" s="1"/>
  <c r="B997" s="1"/>
  <c r="D998"/>
  <c r="C998" s="1"/>
  <c r="B998" s="1"/>
  <c r="D999"/>
  <c r="C999" s="1"/>
  <c r="B999" s="1"/>
  <c r="D1000"/>
  <c r="C1000" s="1"/>
  <c r="B1000" s="1"/>
  <c r="D1001"/>
  <c r="C1001" s="1"/>
  <c r="B1001" s="1"/>
  <c r="D1002"/>
  <c r="C1002" s="1"/>
  <c r="B1002" s="1"/>
  <c r="D1003"/>
  <c r="C1003" s="1"/>
  <c r="B1003" s="1"/>
  <c r="D1004"/>
  <c r="C1004" s="1"/>
  <c r="B1004" s="1"/>
  <c r="D1005"/>
  <c r="C1005" s="1"/>
  <c r="B1005" s="1"/>
  <c r="D1006"/>
  <c r="C1006" s="1"/>
  <c r="B1006" s="1"/>
  <c r="D1007"/>
  <c r="C1007" s="1"/>
  <c r="B1007" s="1"/>
  <c r="D1008"/>
  <c r="C1008" s="1"/>
  <c r="B1008" s="1"/>
  <c r="D1009"/>
  <c r="C1009" s="1"/>
  <c r="B1009" s="1"/>
  <c r="D1010"/>
  <c r="C1010" s="1"/>
  <c r="B1010" s="1"/>
  <c r="D1011"/>
  <c r="C1011" s="1"/>
  <c r="B1011" s="1"/>
  <c r="D1012"/>
  <c r="C1012" s="1"/>
  <c r="B1012" s="1"/>
  <c r="D1013"/>
  <c r="C1013" s="1"/>
  <c r="B1013" s="1"/>
  <c r="D1014"/>
  <c r="C1014" s="1"/>
  <c r="B1014" s="1"/>
  <c r="D1015"/>
  <c r="C1015" s="1"/>
  <c r="B1015" s="1"/>
  <c r="D1016"/>
  <c r="C1016" s="1"/>
  <c r="B1016" s="1"/>
  <c r="D1017"/>
  <c r="C1017" s="1"/>
  <c r="B1017" s="1"/>
  <c r="D1018"/>
  <c r="C1018" s="1"/>
  <c r="B1018" s="1"/>
  <c r="D1019"/>
  <c r="C1019" s="1"/>
  <c r="B1019" s="1"/>
  <c r="D1020"/>
  <c r="C1020" s="1"/>
  <c r="B1020" s="1"/>
  <c r="D1021"/>
  <c r="C1021" s="1"/>
  <c r="B1021" s="1"/>
  <c r="D1022"/>
  <c r="C1022" s="1"/>
  <c r="B1022" s="1"/>
  <c r="D1023"/>
  <c r="C1023" s="1"/>
  <c r="B1023" s="1"/>
  <c r="D1024"/>
  <c r="C1024" s="1"/>
  <c r="B1024" s="1"/>
  <c r="D1025"/>
  <c r="C1025" s="1"/>
  <c r="B1025" s="1"/>
  <c r="D1026"/>
  <c r="C1026" s="1"/>
  <c r="B1026" s="1"/>
  <c r="D1027"/>
  <c r="C1027" s="1"/>
  <c r="B1027" s="1"/>
  <c r="D1028"/>
  <c r="C1028" s="1"/>
  <c r="B1028" s="1"/>
  <c r="D1029"/>
  <c r="C1029" s="1"/>
  <c r="B1029" s="1"/>
  <c r="D1030"/>
  <c r="C1030" s="1"/>
  <c r="B1030" s="1"/>
  <c r="D1031"/>
  <c r="C1031" s="1"/>
  <c r="B1031" s="1"/>
  <c r="D1032"/>
  <c r="C1032" s="1"/>
  <c r="B1032" s="1"/>
  <c r="D1033"/>
  <c r="C1033" s="1"/>
  <c r="B1033" s="1"/>
  <c r="D1034"/>
  <c r="C1034" s="1"/>
  <c r="B1034" s="1"/>
  <c r="D1035"/>
  <c r="C1035" s="1"/>
  <c r="B1035" s="1"/>
  <c r="D1036"/>
  <c r="C1036" s="1"/>
  <c r="B1036" s="1"/>
  <c r="D1037"/>
  <c r="C1037" s="1"/>
  <c r="B1037" s="1"/>
  <c r="D1038"/>
  <c r="C1038" s="1"/>
  <c r="B1038" s="1"/>
  <c r="D1039"/>
  <c r="C1039" s="1"/>
  <c r="B1039" s="1"/>
  <c r="D1040"/>
  <c r="C1040" s="1"/>
  <c r="B1040" s="1"/>
  <c r="D1041"/>
  <c r="C1041" s="1"/>
  <c r="B1041" s="1"/>
  <c r="D1042"/>
  <c r="C1042" s="1"/>
  <c r="B1042" s="1"/>
  <c r="D1043"/>
  <c r="C1043" s="1"/>
  <c r="B1043" s="1"/>
  <c r="D1044"/>
  <c r="C1044" s="1"/>
  <c r="B1044" s="1"/>
  <c r="D1045"/>
  <c r="C1045" s="1"/>
  <c r="B1045" s="1"/>
  <c r="D1046"/>
  <c r="C1046" s="1"/>
  <c r="B1046" s="1"/>
  <c r="D1047"/>
  <c r="C1047" s="1"/>
  <c r="B1047" s="1"/>
  <c r="D1048"/>
  <c r="C1048" s="1"/>
  <c r="B1048" s="1"/>
  <c r="D1049"/>
  <c r="C1049" s="1"/>
  <c r="B1049" s="1"/>
  <c r="D1050"/>
  <c r="C1050" s="1"/>
  <c r="B1050" s="1"/>
  <c r="D1051"/>
  <c r="C1051" s="1"/>
  <c r="B1051" s="1"/>
  <c r="D1052"/>
  <c r="C1052" s="1"/>
  <c r="B1052" s="1"/>
  <c r="D1053"/>
  <c r="C1053" s="1"/>
  <c r="B1053" s="1"/>
  <c r="D1054"/>
  <c r="C1054" s="1"/>
  <c r="B1054" s="1"/>
  <c r="D1055"/>
  <c r="C1055" s="1"/>
  <c r="B1055" s="1"/>
  <c r="D1056"/>
  <c r="C1056" s="1"/>
  <c r="B1056" s="1"/>
  <c r="D1057"/>
  <c r="C1057" s="1"/>
  <c r="B1057" s="1"/>
  <c r="D1058"/>
  <c r="C1058" s="1"/>
  <c r="B1058" s="1"/>
  <c r="D1059"/>
  <c r="C1059" s="1"/>
  <c r="B1059" s="1"/>
  <c r="D1060"/>
  <c r="C1060" s="1"/>
  <c r="B1060" s="1"/>
  <c r="D1061"/>
  <c r="C1061" s="1"/>
  <c r="B1061" s="1"/>
  <c r="D1062"/>
  <c r="C1062" s="1"/>
  <c r="B1062" s="1"/>
  <c r="D1063"/>
  <c r="C1063" s="1"/>
  <c r="B1063" s="1"/>
  <c r="D1064"/>
  <c r="C1064" s="1"/>
  <c r="B1064" s="1"/>
  <c r="D1065"/>
  <c r="C1065" s="1"/>
  <c r="B1065" s="1"/>
  <c r="D1066"/>
  <c r="C1066" s="1"/>
  <c r="B1066" s="1"/>
  <c r="D1067"/>
  <c r="C1067" s="1"/>
  <c r="B1067" s="1"/>
  <c r="D1068"/>
  <c r="C1068" s="1"/>
  <c r="B1068" s="1"/>
  <c r="D1069"/>
  <c r="C1069" s="1"/>
  <c r="B1069" s="1"/>
  <c r="D1070"/>
  <c r="C1070" s="1"/>
  <c r="B1070" s="1"/>
  <c r="D1071"/>
  <c r="C1071" s="1"/>
  <c r="B1071" s="1"/>
  <c r="D1072"/>
  <c r="C1072" s="1"/>
  <c r="B1072" s="1"/>
  <c r="D1073"/>
  <c r="C1073" s="1"/>
  <c r="B1073" s="1"/>
  <c r="D1074"/>
  <c r="C1074" s="1"/>
  <c r="B1074" s="1"/>
  <c r="D1075"/>
  <c r="C1075" s="1"/>
  <c r="B1075" s="1"/>
  <c r="D1076"/>
  <c r="C1076" s="1"/>
  <c r="B1076" s="1"/>
  <c r="D1077"/>
  <c r="C1077" s="1"/>
  <c r="B1077" s="1"/>
  <c r="D1078"/>
  <c r="C1078" s="1"/>
  <c r="B1078" s="1"/>
  <c r="D1079"/>
  <c r="C1079" s="1"/>
  <c r="B1079" s="1"/>
  <c r="D1080"/>
  <c r="C1080" s="1"/>
  <c r="B1080" s="1"/>
  <c r="D1081"/>
  <c r="C1081" s="1"/>
  <c r="B1081" s="1"/>
  <c r="D1082"/>
  <c r="C1082" s="1"/>
  <c r="B1082" s="1"/>
  <c r="D1083"/>
  <c r="C1083" s="1"/>
  <c r="B1083" s="1"/>
  <c r="D1084"/>
  <c r="C1084" s="1"/>
  <c r="B1084" s="1"/>
  <c r="D1085"/>
  <c r="C1085" s="1"/>
  <c r="B1085" s="1"/>
  <c r="D1086"/>
  <c r="C1086" s="1"/>
  <c r="B1086" s="1"/>
  <c r="D1087"/>
  <c r="C1087" s="1"/>
  <c r="B1087" s="1"/>
  <c r="D1088"/>
  <c r="C1088" s="1"/>
  <c r="B1088" s="1"/>
  <c r="D1089"/>
  <c r="C1089" s="1"/>
  <c r="B1089" s="1"/>
  <c r="D1090"/>
  <c r="C1090" s="1"/>
  <c r="B1090" s="1"/>
  <c r="D1091"/>
  <c r="C1091" s="1"/>
  <c r="B1091" s="1"/>
  <c r="D1092"/>
  <c r="C1092" s="1"/>
  <c r="B1092" s="1"/>
  <c r="D1093"/>
  <c r="C1093" s="1"/>
  <c r="B1093" s="1"/>
  <c r="D1094"/>
  <c r="C1094" s="1"/>
  <c r="B1094" s="1"/>
  <c r="D1095"/>
  <c r="C1095" s="1"/>
  <c r="B1095" s="1"/>
  <c r="D1096"/>
  <c r="C1096" s="1"/>
  <c r="B1096" s="1"/>
  <c r="D1097"/>
  <c r="C1097" s="1"/>
  <c r="B1097" s="1"/>
  <c r="D1098"/>
  <c r="C1098" s="1"/>
  <c r="B1098" s="1"/>
  <c r="D1099"/>
  <c r="C1099" s="1"/>
  <c r="B1099" s="1"/>
  <c r="D1100"/>
  <c r="C1100" s="1"/>
  <c r="B1100" s="1"/>
  <c r="D1101"/>
  <c r="C1101" s="1"/>
  <c r="B1101" s="1"/>
  <c r="D1102"/>
  <c r="C1102" s="1"/>
  <c r="B1102" s="1"/>
  <c r="D1103"/>
  <c r="C1103" s="1"/>
  <c r="B1103" s="1"/>
  <c r="D1104"/>
  <c r="C1104" s="1"/>
  <c r="B1104" s="1"/>
  <c r="D1105"/>
  <c r="C1105" s="1"/>
  <c r="B1105" s="1"/>
  <c r="D1106"/>
  <c r="C1106" s="1"/>
  <c r="B1106" s="1"/>
  <c r="D1107"/>
  <c r="C1107" s="1"/>
  <c r="B1107" s="1"/>
  <c r="D1108"/>
  <c r="C1108" s="1"/>
  <c r="B1108" s="1"/>
  <c r="D1109"/>
  <c r="C1109" s="1"/>
  <c r="B1109" s="1"/>
  <c r="D1110"/>
  <c r="C1110" s="1"/>
  <c r="B1110" s="1"/>
  <c r="D1111"/>
  <c r="C1111" s="1"/>
  <c r="B1111" s="1"/>
  <c r="D1112"/>
  <c r="C1112" s="1"/>
  <c r="B1112" s="1"/>
  <c r="D1113"/>
  <c r="C1113" s="1"/>
  <c r="B1113" s="1"/>
  <c r="D1114"/>
  <c r="C1114" s="1"/>
  <c r="B1114" s="1"/>
  <c r="D1115"/>
  <c r="C1115" s="1"/>
  <c r="B1115" s="1"/>
  <c r="D1116"/>
  <c r="C1116" s="1"/>
  <c r="B1116" s="1"/>
  <c r="D1117"/>
  <c r="C1117" s="1"/>
  <c r="B1117" s="1"/>
  <c r="D1118"/>
  <c r="C1118" s="1"/>
  <c r="B1118" s="1"/>
  <c r="D1119"/>
  <c r="C1119" s="1"/>
  <c r="B1119" s="1"/>
  <c r="D1120"/>
  <c r="C1120" s="1"/>
  <c r="B1120" s="1"/>
  <c r="D1121"/>
  <c r="C1121" s="1"/>
  <c r="B1121" s="1"/>
  <c r="D1122"/>
  <c r="C1122" s="1"/>
  <c r="B1122" s="1"/>
  <c r="D1123"/>
  <c r="C1123" s="1"/>
  <c r="B1123" s="1"/>
  <c r="D1124"/>
  <c r="C1124" s="1"/>
  <c r="B1124" s="1"/>
  <c r="D1125"/>
  <c r="C1125" s="1"/>
  <c r="B1125" s="1"/>
  <c r="D1126"/>
  <c r="C1126" s="1"/>
  <c r="B1126" s="1"/>
  <c r="D1127"/>
  <c r="C1127" s="1"/>
  <c r="B1127" s="1"/>
  <c r="D1128"/>
  <c r="C1128" s="1"/>
  <c r="B1128" s="1"/>
  <c r="D1129"/>
  <c r="C1129" s="1"/>
  <c r="B1129" s="1"/>
  <c r="D1130"/>
  <c r="C1130" s="1"/>
  <c r="B1130" s="1"/>
  <c r="D1131"/>
  <c r="C1131" s="1"/>
  <c r="B1131" s="1"/>
  <c r="D1132"/>
  <c r="C1132" s="1"/>
  <c r="B1132" s="1"/>
  <c r="D1133"/>
  <c r="C1133" s="1"/>
  <c r="B1133" s="1"/>
  <c r="D1134"/>
  <c r="C1134" s="1"/>
  <c r="B1134" s="1"/>
  <c r="D1135"/>
  <c r="C1135" s="1"/>
  <c r="B1135" s="1"/>
  <c r="D1136"/>
  <c r="C1136" s="1"/>
  <c r="B1136" s="1"/>
  <c r="D1137"/>
  <c r="C1137" s="1"/>
  <c r="B1137" s="1"/>
  <c r="D1138"/>
  <c r="C1138" s="1"/>
  <c r="B1138" s="1"/>
  <c r="D1139"/>
  <c r="C1139" s="1"/>
  <c r="B1139" s="1"/>
  <c r="D1140"/>
  <c r="C1140" s="1"/>
  <c r="B1140" s="1"/>
  <c r="D1141"/>
  <c r="C1141" s="1"/>
  <c r="B1141" s="1"/>
  <c r="D1142"/>
  <c r="C1142" s="1"/>
  <c r="B1142" s="1"/>
  <c r="D1143"/>
  <c r="C1143" s="1"/>
  <c r="B1143" s="1"/>
  <c r="D1144"/>
  <c r="C1144" s="1"/>
  <c r="B1144" s="1"/>
  <c r="D1145"/>
  <c r="C1145" s="1"/>
  <c r="B1145" s="1"/>
  <c r="D1146"/>
  <c r="C1146" s="1"/>
  <c r="B1146" s="1"/>
  <c r="D1147"/>
  <c r="C1147" s="1"/>
  <c r="B1147" s="1"/>
  <c r="D1148"/>
  <c r="C1148" s="1"/>
  <c r="B1148" s="1"/>
  <c r="D1149"/>
  <c r="C1149" s="1"/>
  <c r="B1149" s="1"/>
  <c r="D1150"/>
  <c r="C1150" s="1"/>
  <c r="B1150" s="1"/>
  <c r="D1151"/>
  <c r="C1151" s="1"/>
  <c r="B1151" s="1"/>
  <c r="D1152"/>
  <c r="C1152" s="1"/>
  <c r="B1152" s="1"/>
  <c r="D1153"/>
  <c r="C1153" s="1"/>
  <c r="B1153" s="1"/>
  <c r="D1154"/>
  <c r="C1154" s="1"/>
  <c r="B1154" s="1"/>
  <c r="D1155"/>
  <c r="C1155" s="1"/>
  <c r="B1155" s="1"/>
  <c r="D1156"/>
  <c r="C1156" s="1"/>
  <c r="B1156" s="1"/>
  <c r="D1157"/>
  <c r="C1157" s="1"/>
  <c r="B1157" s="1"/>
  <c r="D1158"/>
  <c r="C1158" s="1"/>
  <c r="B1158" s="1"/>
  <c r="D1159"/>
  <c r="C1159" s="1"/>
  <c r="B1159" s="1"/>
  <c r="D1160"/>
  <c r="C1160" s="1"/>
  <c r="B1160" s="1"/>
  <c r="D1161"/>
  <c r="C1161" s="1"/>
  <c r="B1161" s="1"/>
  <c r="D1162"/>
  <c r="C1162" s="1"/>
  <c r="B1162" s="1"/>
  <c r="D1163"/>
  <c r="C1163" s="1"/>
  <c r="B1163" s="1"/>
  <c r="D1164"/>
  <c r="C1164" s="1"/>
  <c r="B1164" s="1"/>
  <c r="D1165"/>
  <c r="C1165" s="1"/>
  <c r="B1165" s="1"/>
  <c r="D1166"/>
  <c r="C1166" s="1"/>
  <c r="B1166" s="1"/>
  <c r="D1167"/>
  <c r="C1167" s="1"/>
  <c r="B1167" s="1"/>
  <c r="D1168"/>
  <c r="C1168" s="1"/>
  <c r="B1168" s="1"/>
  <c r="D1169"/>
  <c r="C1169" s="1"/>
  <c r="B1169" s="1"/>
  <c r="D1170"/>
  <c r="C1170" s="1"/>
  <c r="B1170" s="1"/>
  <c r="D1171"/>
  <c r="C1171" s="1"/>
  <c r="B1171" s="1"/>
  <c r="D1172"/>
  <c r="C1172" s="1"/>
  <c r="B1172" s="1"/>
  <c r="D1173"/>
  <c r="C1173" s="1"/>
  <c r="B1173" s="1"/>
  <c r="D1174"/>
  <c r="C1174" s="1"/>
  <c r="B1174" s="1"/>
  <c r="D1175"/>
  <c r="C1175" s="1"/>
  <c r="B1175" s="1"/>
  <c r="D1176"/>
  <c r="C1176" s="1"/>
  <c r="B1176" s="1"/>
  <c r="D1177"/>
  <c r="C1177" s="1"/>
  <c r="B1177" s="1"/>
  <c r="D1178"/>
  <c r="C1178" s="1"/>
  <c r="B1178" s="1"/>
  <c r="D1179"/>
  <c r="C1179" s="1"/>
  <c r="B1179" s="1"/>
  <c r="D1180"/>
  <c r="C1180" s="1"/>
  <c r="B1180" s="1"/>
  <c r="D1181"/>
  <c r="C1181" s="1"/>
  <c r="B1181" s="1"/>
  <c r="D1182"/>
  <c r="C1182" s="1"/>
  <c r="B1182" s="1"/>
  <c r="D1183"/>
  <c r="C1183" s="1"/>
  <c r="B1183" s="1"/>
  <c r="D1184"/>
  <c r="C1184" s="1"/>
  <c r="B1184" s="1"/>
  <c r="D1185"/>
  <c r="C1185" s="1"/>
  <c r="B1185" s="1"/>
  <c r="D1186"/>
  <c r="C1186" s="1"/>
  <c r="B1186" s="1"/>
  <c r="D1187"/>
  <c r="C1187" s="1"/>
  <c r="B1187" s="1"/>
  <c r="D1188"/>
  <c r="C1188" s="1"/>
  <c r="B1188" s="1"/>
  <c r="D1189"/>
  <c r="C1189" s="1"/>
  <c r="B1189" s="1"/>
  <c r="D1190"/>
  <c r="C1190" s="1"/>
  <c r="B1190" s="1"/>
  <c r="D1191"/>
  <c r="C1191" s="1"/>
  <c r="B1191" s="1"/>
  <c r="D1192"/>
  <c r="C1192" s="1"/>
  <c r="B1192" s="1"/>
  <c r="D1193"/>
  <c r="C1193" s="1"/>
  <c r="B1193" s="1"/>
  <c r="D1194"/>
  <c r="C1194" s="1"/>
  <c r="B1194" s="1"/>
  <c r="D1195"/>
  <c r="C1195" s="1"/>
  <c r="B1195" s="1"/>
  <c r="D1196"/>
  <c r="C1196" s="1"/>
  <c r="B1196" s="1"/>
  <c r="D1197"/>
  <c r="C1197" s="1"/>
  <c r="B1197" s="1"/>
  <c r="D1198"/>
  <c r="C1198" s="1"/>
  <c r="B1198" s="1"/>
  <c r="D1199"/>
  <c r="C1199" s="1"/>
  <c r="B1199" s="1"/>
  <c r="D1200"/>
  <c r="C1200" s="1"/>
  <c r="B1200" s="1"/>
  <c r="D1201"/>
  <c r="C1201" s="1"/>
  <c r="B1201" s="1"/>
  <c r="D1202"/>
  <c r="C1202" s="1"/>
  <c r="B1202" s="1"/>
  <c r="D1203"/>
  <c r="C1203" s="1"/>
  <c r="B1203" s="1"/>
  <c r="D1204"/>
  <c r="C1204" s="1"/>
  <c r="B1204" s="1"/>
  <c r="D1205"/>
  <c r="C1205" s="1"/>
  <c r="B1205" s="1"/>
  <c r="D1206"/>
  <c r="C1206" s="1"/>
  <c r="B1206" s="1"/>
  <c r="D1207"/>
  <c r="C1207" s="1"/>
  <c r="B1207" s="1"/>
  <c r="D1208"/>
  <c r="C1208" s="1"/>
  <c r="B1208" s="1"/>
  <c r="D1209"/>
  <c r="C1209" s="1"/>
  <c r="B1209" s="1"/>
  <c r="D1210"/>
  <c r="C1210" s="1"/>
  <c r="B1210" s="1"/>
  <c r="D1211"/>
  <c r="C1211" s="1"/>
  <c r="B1211" s="1"/>
  <c r="D1212"/>
  <c r="C1212" s="1"/>
  <c r="B1212" s="1"/>
  <c r="D1213"/>
  <c r="C1213" s="1"/>
  <c r="B1213" s="1"/>
  <c r="D1214"/>
  <c r="C1214" s="1"/>
  <c r="B1214" s="1"/>
  <c r="D1215"/>
  <c r="C1215" s="1"/>
  <c r="B1215" s="1"/>
  <c r="D1216"/>
  <c r="C1216" s="1"/>
  <c r="B1216" s="1"/>
  <c r="D1217"/>
  <c r="C1217" s="1"/>
  <c r="B1217" s="1"/>
  <c r="D1218"/>
  <c r="C1218" s="1"/>
  <c r="B1218" s="1"/>
  <c r="D1219"/>
  <c r="C1219" s="1"/>
  <c r="B1219" s="1"/>
  <c r="D1220"/>
  <c r="C1220" s="1"/>
  <c r="B1220" s="1"/>
  <c r="D1221"/>
  <c r="C1221" s="1"/>
  <c r="B1221" s="1"/>
  <c r="D1222"/>
  <c r="C1222" s="1"/>
  <c r="B1222" s="1"/>
  <c r="D1223"/>
  <c r="C1223" s="1"/>
  <c r="B1223" s="1"/>
  <c r="D1224"/>
  <c r="C1224" s="1"/>
  <c r="B1224" s="1"/>
  <c r="D1225"/>
  <c r="C1225" s="1"/>
  <c r="B1225" s="1"/>
  <c r="D1226"/>
  <c r="C1226" s="1"/>
  <c r="B1226" s="1"/>
  <c r="D1227"/>
  <c r="C1227" s="1"/>
  <c r="B1227" s="1"/>
  <c r="D1228"/>
  <c r="C1228" s="1"/>
  <c r="B1228" s="1"/>
  <c r="D1229"/>
  <c r="C1229" s="1"/>
  <c r="B1229" s="1"/>
  <c r="D1230"/>
  <c r="C1230" s="1"/>
  <c r="B1230" s="1"/>
  <c r="D1231"/>
  <c r="C1231" s="1"/>
  <c r="B1231" s="1"/>
  <c r="D1232"/>
  <c r="C1232" s="1"/>
  <c r="B1232" s="1"/>
  <c r="D1233"/>
  <c r="C1233" s="1"/>
  <c r="B1233" s="1"/>
  <c r="D1234"/>
  <c r="C1234" s="1"/>
  <c r="B1234" s="1"/>
  <c r="D1235"/>
  <c r="C1235" s="1"/>
  <c r="B1235" s="1"/>
  <c r="D1236"/>
  <c r="C1236" s="1"/>
  <c r="B1236" s="1"/>
  <c r="D1237"/>
  <c r="C1237" s="1"/>
  <c r="B1237" s="1"/>
  <c r="D1238"/>
  <c r="C1238" s="1"/>
  <c r="B1238" s="1"/>
  <c r="D1239"/>
  <c r="C1239" s="1"/>
  <c r="B1239" s="1"/>
  <c r="D1240"/>
  <c r="C1240" s="1"/>
  <c r="B1240" s="1"/>
  <c r="D1241"/>
  <c r="C1241" s="1"/>
  <c r="B1241" s="1"/>
  <c r="D1242"/>
  <c r="C1242" s="1"/>
  <c r="B1242" s="1"/>
  <c r="D1243"/>
  <c r="C1243" s="1"/>
  <c r="B1243" s="1"/>
  <c r="D1244"/>
  <c r="C1244" s="1"/>
  <c r="B1244" s="1"/>
  <c r="D1245"/>
  <c r="C1245" s="1"/>
  <c r="B1245" s="1"/>
  <c r="D1246"/>
  <c r="C1246" s="1"/>
  <c r="B1246" s="1"/>
  <c r="D1247"/>
  <c r="C1247" s="1"/>
  <c r="B1247" s="1"/>
  <c r="D1248"/>
  <c r="C1248" s="1"/>
  <c r="B1248" s="1"/>
  <c r="D1249"/>
  <c r="C1249" s="1"/>
  <c r="B1249" s="1"/>
  <c r="D1250"/>
  <c r="C1250" s="1"/>
  <c r="B1250" s="1"/>
  <c r="D1251"/>
  <c r="C1251" s="1"/>
  <c r="B1251" s="1"/>
  <c r="D1252"/>
  <c r="C1252" s="1"/>
  <c r="B1252" s="1"/>
  <c r="D1253"/>
  <c r="C1253" s="1"/>
  <c r="B1253" s="1"/>
  <c r="D1254"/>
  <c r="C1254" s="1"/>
  <c r="B1254" s="1"/>
  <c r="D1255"/>
  <c r="C1255" s="1"/>
  <c r="B1255" s="1"/>
  <c r="D1256"/>
  <c r="C1256" s="1"/>
  <c r="B1256" s="1"/>
  <c r="D1257"/>
  <c r="C1257" s="1"/>
  <c r="B1257" s="1"/>
  <c r="D1258"/>
  <c r="C1258" s="1"/>
  <c r="B1258" s="1"/>
  <c r="D1259"/>
  <c r="C1259" s="1"/>
  <c r="B1259" s="1"/>
  <c r="D1260"/>
  <c r="C1260" s="1"/>
  <c r="B1260" s="1"/>
  <c r="D1261"/>
  <c r="C1261" s="1"/>
  <c r="B1261" s="1"/>
  <c r="D1262"/>
  <c r="C1262" s="1"/>
  <c r="B1262" s="1"/>
  <c r="D1263"/>
  <c r="C1263" s="1"/>
  <c r="B1263" s="1"/>
  <c r="D1264"/>
  <c r="C1264" s="1"/>
  <c r="B1264" s="1"/>
  <c r="D1265"/>
  <c r="C1265" s="1"/>
  <c r="B1265" s="1"/>
  <c r="D1266"/>
  <c r="C1266" s="1"/>
  <c r="B1266" s="1"/>
  <c r="D1267"/>
  <c r="C1267" s="1"/>
  <c r="B1267" s="1"/>
  <c r="D1268"/>
  <c r="C1268" s="1"/>
  <c r="B1268" s="1"/>
  <c r="D1269"/>
  <c r="C1269" s="1"/>
  <c r="B1269" s="1"/>
  <c r="D1270"/>
  <c r="C1270" s="1"/>
  <c r="B1270" s="1"/>
  <c r="D1271"/>
  <c r="C1271" s="1"/>
  <c r="B1271" s="1"/>
  <c r="D1272"/>
  <c r="C1272" s="1"/>
  <c r="B1272" s="1"/>
  <c r="D1273"/>
  <c r="C1273" s="1"/>
  <c r="B1273" s="1"/>
  <c r="D1274"/>
  <c r="C1274" s="1"/>
  <c r="B1274" s="1"/>
  <c r="D1275"/>
  <c r="C1275" s="1"/>
  <c r="B1275" s="1"/>
  <c r="D1276"/>
  <c r="C1276" s="1"/>
  <c r="B1276" s="1"/>
  <c r="D1277"/>
  <c r="C1277" s="1"/>
  <c r="B1277" s="1"/>
  <c r="D1278"/>
  <c r="C1278" s="1"/>
  <c r="B1278" s="1"/>
  <c r="D1279"/>
  <c r="C1279" s="1"/>
  <c r="B1279" s="1"/>
  <c r="D1280"/>
  <c r="C1280" s="1"/>
  <c r="B1280" s="1"/>
  <c r="D1281"/>
  <c r="C1281" s="1"/>
  <c r="B1281" s="1"/>
  <c r="D1282"/>
  <c r="C1282" s="1"/>
  <c r="B1282" s="1"/>
  <c r="D1283"/>
  <c r="C1283" s="1"/>
  <c r="B1283" s="1"/>
  <c r="D1284"/>
  <c r="C1284" s="1"/>
  <c r="B1284" s="1"/>
  <c r="D1285"/>
  <c r="C1285" s="1"/>
  <c r="B1285" s="1"/>
  <c r="D1286"/>
  <c r="C1286" s="1"/>
  <c r="B1286" s="1"/>
  <c r="D1287"/>
  <c r="C1287" s="1"/>
  <c r="B1287" s="1"/>
  <c r="D1288"/>
  <c r="C1288" s="1"/>
  <c r="B1288" s="1"/>
  <c r="D1289"/>
  <c r="C1289" s="1"/>
  <c r="B1289" s="1"/>
  <c r="D1290"/>
  <c r="C1290" s="1"/>
  <c r="B1290" s="1"/>
  <c r="D1291"/>
  <c r="C1291" s="1"/>
  <c r="B1291" s="1"/>
  <c r="D1292"/>
  <c r="C1292" s="1"/>
  <c r="B1292" s="1"/>
  <c r="D1293"/>
  <c r="C1293" s="1"/>
  <c r="B1293" s="1"/>
  <c r="D1294"/>
  <c r="C1294" s="1"/>
  <c r="B1294" s="1"/>
  <c r="D1295"/>
  <c r="C1295" s="1"/>
  <c r="B1295" s="1"/>
  <c r="D1296"/>
  <c r="C1296" s="1"/>
  <c r="B1296" s="1"/>
  <c r="D1297"/>
  <c r="C1297" s="1"/>
  <c r="B1297" s="1"/>
  <c r="D1298"/>
  <c r="C1298" s="1"/>
  <c r="B1298" s="1"/>
  <c r="D1299"/>
  <c r="C1299" s="1"/>
  <c r="B1299" s="1"/>
  <c r="D1300"/>
  <c r="C1300" s="1"/>
  <c r="B1300" s="1"/>
  <c r="D1301"/>
  <c r="C1301" s="1"/>
  <c r="B1301" s="1"/>
  <c r="D1302"/>
  <c r="C1302" s="1"/>
  <c r="B1302" s="1"/>
  <c r="D1303"/>
  <c r="C1303" s="1"/>
  <c r="B1303" s="1"/>
  <c r="D1304"/>
  <c r="C1304" s="1"/>
  <c r="B1304" s="1"/>
  <c r="D1305"/>
  <c r="C1305" s="1"/>
  <c r="B1305" s="1"/>
  <c r="D1306"/>
  <c r="C1306" s="1"/>
  <c r="B1306" s="1"/>
  <c r="D1307"/>
  <c r="C1307" s="1"/>
  <c r="B1307" s="1"/>
  <c r="D1308"/>
  <c r="C1308" s="1"/>
  <c r="B1308" s="1"/>
  <c r="D1309"/>
  <c r="C1309" s="1"/>
  <c r="B1309" s="1"/>
  <c r="D1310"/>
  <c r="C1310" s="1"/>
  <c r="B1310" s="1"/>
  <c r="D1311"/>
  <c r="C1311" s="1"/>
  <c r="B1311" s="1"/>
  <c r="D1312"/>
  <c r="C1312" s="1"/>
  <c r="B1312" s="1"/>
  <c r="D1313"/>
  <c r="C1313" s="1"/>
  <c r="B1313" s="1"/>
  <c r="D1314"/>
  <c r="C1314" s="1"/>
  <c r="B1314" s="1"/>
  <c r="D1315"/>
  <c r="C1315" s="1"/>
  <c r="B1315" s="1"/>
  <c r="D1316"/>
  <c r="C1316" s="1"/>
  <c r="B1316" s="1"/>
  <c r="D1317"/>
  <c r="C1317" s="1"/>
  <c r="B1317" s="1"/>
  <c r="D1318"/>
  <c r="C1318" s="1"/>
  <c r="B1318" s="1"/>
  <c r="D1319"/>
  <c r="C1319" s="1"/>
  <c r="B1319" s="1"/>
  <c r="D1320"/>
  <c r="C1320" s="1"/>
  <c r="B1320" s="1"/>
  <c r="D1321"/>
  <c r="C1321" s="1"/>
  <c r="B1321" s="1"/>
  <c r="D1322"/>
  <c r="C1322" s="1"/>
  <c r="B1322" s="1"/>
  <c r="D1323"/>
  <c r="C1323" s="1"/>
  <c r="B1323" s="1"/>
  <c r="D1324"/>
  <c r="C1324" s="1"/>
  <c r="B1324" s="1"/>
  <c r="D1325"/>
  <c r="C1325" s="1"/>
  <c r="B1325" s="1"/>
  <c r="D1326"/>
  <c r="C1326" s="1"/>
  <c r="B1326" s="1"/>
  <c r="D1327"/>
  <c r="C1327" s="1"/>
  <c r="B1327" s="1"/>
  <c r="D1328"/>
  <c r="C1328" s="1"/>
  <c r="B1328" s="1"/>
  <c r="D1329"/>
  <c r="C1329" s="1"/>
  <c r="B1329" s="1"/>
  <c r="D1330"/>
  <c r="C1330" s="1"/>
  <c r="B1330" s="1"/>
  <c r="D1331"/>
  <c r="C1331" s="1"/>
  <c r="B1331" s="1"/>
  <c r="D1332"/>
  <c r="C1332" s="1"/>
  <c r="B1332" s="1"/>
  <c r="D1333"/>
  <c r="C1333" s="1"/>
  <c r="B1333" s="1"/>
  <c r="D1334"/>
  <c r="C1334" s="1"/>
  <c r="B1334" s="1"/>
  <c r="D1335"/>
  <c r="C1335" s="1"/>
  <c r="B1335" s="1"/>
  <c r="D1336"/>
  <c r="C1336" s="1"/>
  <c r="B1336" s="1"/>
  <c r="D1337"/>
  <c r="C1337" s="1"/>
  <c r="B1337" s="1"/>
  <c r="D1338"/>
  <c r="C1338" s="1"/>
  <c r="B1338" s="1"/>
  <c r="D1339"/>
  <c r="C1339" s="1"/>
  <c r="B1339" s="1"/>
  <c r="D1340"/>
  <c r="C1340" s="1"/>
  <c r="B1340" s="1"/>
  <c r="D1341"/>
  <c r="C1341" s="1"/>
  <c r="B1341" s="1"/>
  <c r="D1342"/>
  <c r="C1342" s="1"/>
  <c r="B1342" s="1"/>
  <c r="D1343"/>
  <c r="C1343" s="1"/>
  <c r="B1343" s="1"/>
  <c r="D1344"/>
  <c r="C1344" s="1"/>
  <c r="B1344" s="1"/>
  <c r="D1345"/>
  <c r="C1345" s="1"/>
  <c r="B1345" s="1"/>
  <c r="D1346"/>
  <c r="C1346" s="1"/>
  <c r="B1346" s="1"/>
  <c r="D1347"/>
  <c r="C1347" s="1"/>
  <c r="B1347" s="1"/>
  <c r="D1348"/>
  <c r="C1348" s="1"/>
  <c r="B1348" s="1"/>
  <c r="D1349"/>
  <c r="C1349" s="1"/>
  <c r="B1349" s="1"/>
  <c r="D1350"/>
  <c r="C1350" s="1"/>
  <c r="B1350" s="1"/>
  <c r="D1351"/>
  <c r="C1351" s="1"/>
  <c r="B1351" s="1"/>
  <c r="D1352"/>
  <c r="C1352" s="1"/>
  <c r="B1352" s="1"/>
  <c r="D1353"/>
  <c r="C1353" s="1"/>
  <c r="B1353" s="1"/>
  <c r="D1354"/>
  <c r="C1354" s="1"/>
  <c r="B1354" s="1"/>
  <c r="D1355"/>
  <c r="C1355" s="1"/>
  <c r="B1355" s="1"/>
  <c r="D1356"/>
  <c r="C1356" s="1"/>
  <c r="B1356" s="1"/>
  <c r="D1357"/>
  <c r="C1357" s="1"/>
  <c r="B1357" s="1"/>
  <c r="D1358"/>
  <c r="C1358" s="1"/>
  <c r="B1358" s="1"/>
  <c r="D1359"/>
  <c r="C1359" s="1"/>
  <c r="B1359" s="1"/>
  <c r="D1360"/>
  <c r="C1360" s="1"/>
  <c r="B1360" s="1"/>
  <c r="D1361"/>
  <c r="C1361" s="1"/>
  <c r="B1361" s="1"/>
  <c r="D1362"/>
  <c r="C1362" s="1"/>
  <c r="B1362" s="1"/>
  <c r="D1363"/>
  <c r="C1363" s="1"/>
  <c r="B1363" s="1"/>
  <c r="D1364"/>
  <c r="C1364" s="1"/>
  <c r="B1364" s="1"/>
  <c r="D1365"/>
  <c r="C1365" s="1"/>
  <c r="B1365" s="1"/>
  <c r="D1366"/>
  <c r="C1366" s="1"/>
  <c r="B1366" s="1"/>
  <c r="D1367"/>
  <c r="C1367" s="1"/>
  <c r="B1367" s="1"/>
  <c r="D1368"/>
  <c r="C1368" s="1"/>
  <c r="B1368" s="1"/>
  <c r="D1369"/>
  <c r="C1369" s="1"/>
  <c r="B1369" s="1"/>
  <c r="D1370"/>
  <c r="C1370" s="1"/>
  <c r="B1370" s="1"/>
  <c r="D1371"/>
  <c r="C1371" s="1"/>
  <c r="B1371" s="1"/>
  <c r="D1372"/>
  <c r="C1372" s="1"/>
  <c r="B1372" s="1"/>
  <c r="D1373"/>
  <c r="C1373" s="1"/>
  <c r="B1373" s="1"/>
  <c r="D1374"/>
  <c r="C1374" s="1"/>
  <c r="B1374" s="1"/>
  <c r="D1375"/>
  <c r="C1375" s="1"/>
  <c r="B1375" s="1"/>
  <c r="D1376"/>
  <c r="C1376" s="1"/>
  <c r="B1376" s="1"/>
  <c r="D1377"/>
  <c r="C1377" s="1"/>
  <c r="B1377" s="1"/>
  <c r="D1378"/>
  <c r="C1378" s="1"/>
  <c r="B1378" s="1"/>
  <c r="D1379"/>
  <c r="C1379" s="1"/>
  <c r="B1379" s="1"/>
  <c r="D1380"/>
  <c r="C1380" s="1"/>
  <c r="B1380" s="1"/>
  <c r="D1381"/>
  <c r="C1381" s="1"/>
  <c r="B1381" s="1"/>
  <c r="D1382"/>
  <c r="C1382" s="1"/>
  <c r="B1382" s="1"/>
  <c r="D1383"/>
  <c r="C1383" s="1"/>
  <c r="B1383" s="1"/>
  <c r="D1384"/>
  <c r="C1384" s="1"/>
  <c r="B1384" s="1"/>
  <c r="D1385"/>
  <c r="C1385" s="1"/>
  <c r="B1385" s="1"/>
  <c r="D1386"/>
  <c r="C1386" s="1"/>
  <c r="B1386" s="1"/>
  <c r="D1387"/>
  <c r="C1387" s="1"/>
  <c r="B1387" s="1"/>
  <c r="D1388"/>
  <c r="C1388" s="1"/>
  <c r="B1388" s="1"/>
  <c r="D1389"/>
  <c r="C1389" s="1"/>
  <c r="B1389" s="1"/>
  <c r="D1390"/>
  <c r="C1390" s="1"/>
  <c r="B1390" s="1"/>
  <c r="D1391"/>
  <c r="C1391" s="1"/>
  <c r="B1391" s="1"/>
  <c r="D1392"/>
  <c r="C1392" s="1"/>
  <c r="B1392" s="1"/>
  <c r="D1393"/>
  <c r="C1393" s="1"/>
  <c r="B1393" s="1"/>
  <c r="D1394"/>
  <c r="C1394" s="1"/>
  <c r="B1394" s="1"/>
  <c r="D1395"/>
  <c r="C1395" s="1"/>
  <c r="B1395" s="1"/>
  <c r="D1396"/>
  <c r="C1396" s="1"/>
  <c r="B1396" s="1"/>
  <c r="D1397"/>
  <c r="C1397" s="1"/>
  <c r="B1397" s="1"/>
  <c r="D1398"/>
  <c r="C1398" s="1"/>
  <c r="B1398" s="1"/>
  <c r="D1399"/>
  <c r="C1399" s="1"/>
  <c r="B1399" s="1"/>
  <c r="D1400"/>
  <c r="C1400" s="1"/>
  <c r="B1400" s="1"/>
  <c r="D1401"/>
  <c r="C1401" s="1"/>
  <c r="B1401" s="1"/>
  <c r="D1402"/>
  <c r="C1402" s="1"/>
  <c r="B1402" s="1"/>
  <c r="D1403"/>
  <c r="C1403" s="1"/>
  <c r="B1403" s="1"/>
  <c r="D1404"/>
  <c r="C1404" s="1"/>
  <c r="B1404" s="1"/>
  <c r="D1405"/>
  <c r="C1405" s="1"/>
  <c r="B1405" s="1"/>
  <c r="D1406"/>
  <c r="C1406" s="1"/>
  <c r="B1406" s="1"/>
  <c r="D1407"/>
  <c r="C1407" s="1"/>
  <c r="B1407" s="1"/>
  <c r="D1408"/>
  <c r="C1408" s="1"/>
  <c r="B1408" s="1"/>
  <c r="D1409"/>
  <c r="C1409" s="1"/>
  <c r="B1409" s="1"/>
  <c r="D1410"/>
  <c r="C1410" s="1"/>
  <c r="B1410" s="1"/>
  <c r="D1411"/>
  <c r="C1411" s="1"/>
  <c r="B1411" s="1"/>
  <c r="D1412"/>
  <c r="C1412" s="1"/>
  <c r="B1412" s="1"/>
  <c r="D1413"/>
  <c r="C1413" s="1"/>
  <c r="B1413" s="1"/>
  <c r="D1414"/>
  <c r="C1414" s="1"/>
  <c r="B1414" s="1"/>
  <c r="D1415"/>
  <c r="C1415" s="1"/>
  <c r="B1415" s="1"/>
  <c r="D1416"/>
  <c r="C1416" s="1"/>
  <c r="B1416" s="1"/>
  <c r="D1417"/>
  <c r="C1417" s="1"/>
  <c r="B1417" s="1"/>
  <c r="D1418"/>
  <c r="C1418" s="1"/>
  <c r="B1418" s="1"/>
  <c r="D1419"/>
  <c r="C1419" s="1"/>
  <c r="B1419" s="1"/>
  <c r="D1420"/>
  <c r="C1420" s="1"/>
  <c r="B1420" s="1"/>
  <c r="D1421"/>
  <c r="C1421" s="1"/>
  <c r="B1421" s="1"/>
  <c r="D1422"/>
  <c r="C1422" s="1"/>
  <c r="B1422" s="1"/>
  <c r="D1423"/>
  <c r="C1423" s="1"/>
  <c r="B1423" s="1"/>
  <c r="D1424"/>
  <c r="C1424" s="1"/>
  <c r="B1424" s="1"/>
  <c r="D1425"/>
  <c r="C1425" s="1"/>
  <c r="B1425" s="1"/>
  <c r="D1426"/>
  <c r="C1426" s="1"/>
  <c r="B1426" s="1"/>
  <c r="D1427"/>
  <c r="C1427" s="1"/>
  <c r="B1427" s="1"/>
  <c r="D1428"/>
  <c r="C1428" s="1"/>
  <c r="B1428" s="1"/>
  <c r="D1429"/>
  <c r="C1429" s="1"/>
  <c r="B1429" s="1"/>
  <c r="D1430"/>
  <c r="C1430" s="1"/>
  <c r="B1430" s="1"/>
  <c r="D1431"/>
  <c r="C1431" s="1"/>
  <c r="B1431" s="1"/>
  <c r="D1432"/>
  <c r="C1432" s="1"/>
  <c r="B1432" s="1"/>
  <c r="D1433"/>
  <c r="C1433" s="1"/>
  <c r="B1433" s="1"/>
  <c r="D1434"/>
  <c r="C1434" s="1"/>
  <c r="B1434" s="1"/>
  <c r="D1435"/>
  <c r="C1435" s="1"/>
  <c r="B1435" s="1"/>
  <c r="D1436"/>
  <c r="C1436" s="1"/>
  <c r="B1436" s="1"/>
  <c r="D1437"/>
  <c r="C1437" s="1"/>
  <c r="B1437" s="1"/>
  <c r="D1438"/>
  <c r="C1438" s="1"/>
  <c r="B1438" s="1"/>
  <c r="D1439"/>
  <c r="C1439" s="1"/>
  <c r="B1439" s="1"/>
  <c r="D1440"/>
  <c r="C1440" s="1"/>
  <c r="B1440" s="1"/>
  <c r="D1441"/>
  <c r="C1441" s="1"/>
  <c r="B1441" s="1"/>
  <c r="D1442"/>
  <c r="C1442" s="1"/>
  <c r="B1442" s="1"/>
  <c r="D1443"/>
  <c r="C1443" s="1"/>
  <c r="B1443" s="1"/>
  <c r="D1444"/>
  <c r="C1444" s="1"/>
  <c r="B1444" s="1"/>
  <c r="D1445"/>
  <c r="C1445" s="1"/>
  <c r="B1445" s="1"/>
  <c r="D1446"/>
  <c r="C1446" s="1"/>
  <c r="B1446" s="1"/>
  <c r="D1447"/>
  <c r="C1447" s="1"/>
  <c r="B1447" s="1"/>
  <c r="D1448"/>
  <c r="C1448" s="1"/>
  <c r="B1448" s="1"/>
  <c r="D1449"/>
  <c r="C1449" s="1"/>
  <c r="B1449" s="1"/>
  <c r="D1450"/>
  <c r="C1450" s="1"/>
  <c r="B1450" s="1"/>
  <c r="D1451"/>
  <c r="C1451" s="1"/>
  <c r="B1451" s="1"/>
  <c r="D1452"/>
  <c r="C1452" s="1"/>
  <c r="B1452" s="1"/>
  <c r="D1453"/>
  <c r="C1453" s="1"/>
  <c r="B1453" s="1"/>
  <c r="D1454"/>
  <c r="C1454" s="1"/>
  <c r="B1454" s="1"/>
  <c r="D1455"/>
  <c r="C1455" s="1"/>
  <c r="B1455" s="1"/>
  <c r="D1456"/>
  <c r="C1456" s="1"/>
  <c r="B1456" s="1"/>
  <c r="D1457"/>
  <c r="C1457" s="1"/>
  <c r="B1457" s="1"/>
  <c r="D1458"/>
  <c r="C1458" s="1"/>
  <c r="B1458" s="1"/>
  <c r="D1459"/>
  <c r="C1459" s="1"/>
  <c r="B1459" s="1"/>
  <c r="D1460"/>
  <c r="C1460" s="1"/>
  <c r="B1460" s="1"/>
  <c r="D1461"/>
  <c r="C1461" s="1"/>
  <c r="B1461" s="1"/>
  <c r="D1462"/>
  <c r="C1462" s="1"/>
  <c r="B1462" s="1"/>
  <c r="D1463"/>
  <c r="C1463" s="1"/>
  <c r="B1463" s="1"/>
  <c r="D1464"/>
  <c r="C1464" s="1"/>
  <c r="B1464" s="1"/>
  <c r="D1465"/>
  <c r="C1465" s="1"/>
  <c r="B1465" s="1"/>
  <c r="D1466"/>
  <c r="C1466" s="1"/>
  <c r="B1466" s="1"/>
  <c r="D1467"/>
  <c r="C1467" s="1"/>
  <c r="B1467" s="1"/>
  <c r="D1468"/>
  <c r="C1468" s="1"/>
  <c r="B1468" s="1"/>
  <c r="D1469"/>
  <c r="C1469" s="1"/>
  <c r="B1469" s="1"/>
  <c r="D1470"/>
  <c r="C1470" s="1"/>
  <c r="B1470" s="1"/>
  <c r="D1471"/>
  <c r="C1471" s="1"/>
  <c r="B1471" s="1"/>
  <c r="D1472"/>
  <c r="C1472" s="1"/>
  <c r="B1472" s="1"/>
  <c r="D1473"/>
  <c r="C1473" s="1"/>
  <c r="B1473" s="1"/>
  <c r="D1474"/>
  <c r="C1474" s="1"/>
  <c r="B1474" s="1"/>
  <c r="D1475"/>
  <c r="C1475" s="1"/>
  <c r="B1475" s="1"/>
  <c r="D1476"/>
  <c r="C1476" s="1"/>
  <c r="B1476" s="1"/>
  <c r="D1477"/>
  <c r="C1477" s="1"/>
  <c r="B1477" s="1"/>
  <c r="D1478"/>
  <c r="C1478" s="1"/>
  <c r="B1478" s="1"/>
  <c r="D1479"/>
  <c r="C1479" s="1"/>
  <c r="B1479" s="1"/>
  <c r="D1480"/>
  <c r="C1480" s="1"/>
  <c r="B1480" s="1"/>
  <c r="D1481"/>
  <c r="C1481" s="1"/>
  <c r="B1481" s="1"/>
  <c r="D1482"/>
  <c r="C1482" s="1"/>
  <c r="B1482" s="1"/>
  <c r="D1483"/>
  <c r="C1483" s="1"/>
  <c r="B1483" s="1"/>
  <c r="D1484"/>
  <c r="C1484" s="1"/>
  <c r="B1484" s="1"/>
  <c r="D1485"/>
  <c r="C1485" s="1"/>
  <c r="B1485" s="1"/>
  <c r="D1486"/>
  <c r="C1486" s="1"/>
  <c r="B1486" s="1"/>
  <c r="D1487"/>
  <c r="C1487" s="1"/>
  <c r="B1487" s="1"/>
  <c r="D1488"/>
  <c r="C1488" s="1"/>
  <c r="B1488" s="1"/>
  <c r="D1489"/>
  <c r="C1489" s="1"/>
  <c r="B1489" s="1"/>
  <c r="D1490"/>
  <c r="C1490" s="1"/>
  <c r="B1490" s="1"/>
  <c r="D1491"/>
  <c r="C1491" s="1"/>
  <c r="B1491" s="1"/>
  <c r="D1492"/>
  <c r="C1492" s="1"/>
  <c r="B1492" s="1"/>
  <c r="D1493"/>
  <c r="C1493" s="1"/>
  <c r="B1493" s="1"/>
  <c r="D1494"/>
  <c r="C1494" s="1"/>
  <c r="B1494" s="1"/>
  <c r="D1495"/>
  <c r="C1495" s="1"/>
  <c r="B1495" s="1"/>
  <c r="D1496"/>
  <c r="C1496" s="1"/>
  <c r="B1496" s="1"/>
  <c r="D1497"/>
  <c r="C1497" s="1"/>
  <c r="B1497" s="1"/>
  <c r="D1498"/>
  <c r="C1498" s="1"/>
  <c r="B1498" s="1"/>
  <c r="D1499"/>
  <c r="C1499" s="1"/>
  <c r="B1499" s="1"/>
  <c r="D1500"/>
  <c r="C1500" s="1"/>
  <c r="B1500" s="1"/>
  <c r="D1501"/>
  <c r="C1501" s="1"/>
  <c r="B1501" s="1"/>
  <c r="D1502"/>
  <c r="C1502" s="1"/>
  <c r="B1502" s="1"/>
  <c r="D1503"/>
  <c r="C1503" s="1"/>
  <c r="B1503" s="1"/>
  <c r="D1504"/>
  <c r="C1504" s="1"/>
  <c r="B1504" s="1"/>
  <c r="D1505"/>
  <c r="C1505" s="1"/>
  <c r="B1505" s="1"/>
  <c r="D1506"/>
  <c r="C1506" s="1"/>
  <c r="B1506" s="1"/>
  <c r="D1507"/>
  <c r="C1507" s="1"/>
  <c r="B1507" s="1"/>
  <c r="D1508"/>
  <c r="C1508" s="1"/>
  <c r="B1508" s="1"/>
  <c r="D1509"/>
  <c r="C1509" s="1"/>
  <c r="B1509" s="1"/>
  <c r="D1510"/>
  <c r="C1510" s="1"/>
  <c r="B1510" s="1"/>
  <c r="D1511"/>
  <c r="C1511" s="1"/>
  <c r="B1511" s="1"/>
  <c r="D1512"/>
  <c r="C1512" s="1"/>
  <c r="B1512" s="1"/>
  <c r="D1513"/>
  <c r="C1513" s="1"/>
  <c r="B1513" s="1"/>
  <c r="D1514"/>
  <c r="C1514" s="1"/>
  <c r="B1514" s="1"/>
  <c r="D1515"/>
  <c r="C1515" s="1"/>
  <c r="B1515" s="1"/>
  <c r="D1516"/>
  <c r="C1516" s="1"/>
  <c r="B1516" s="1"/>
  <c r="D1517"/>
  <c r="C1517" s="1"/>
  <c r="B1517" s="1"/>
  <c r="D1518"/>
  <c r="C1518" s="1"/>
  <c r="B1518" s="1"/>
  <c r="D1519"/>
  <c r="C1519" s="1"/>
  <c r="B1519" s="1"/>
  <c r="D1520"/>
  <c r="C1520" s="1"/>
  <c r="B1520" s="1"/>
  <c r="D1521"/>
  <c r="C1521" s="1"/>
  <c r="B1521" s="1"/>
  <c r="D1522"/>
  <c r="C1522" s="1"/>
  <c r="B1522" s="1"/>
  <c r="D1523"/>
  <c r="C1523" s="1"/>
  <c r="B1523" s="1"/>
  <c r="D1524"/>
  <c r="C1524" s="1"/>
  <c r="B1524" s="1"/>
  <c r="D1525"/>
  <c r="C1525" s="1"/>
  <c r="B1525" s="1"/>
  <c r="D1526"/>
  <c r="C1526" s="1"/>
  <c r="B1526" s="1"/>
  <c r="D1527"/>
  <c r="C1527" s="1"/>
  <c r="B1527" s="1"/>
  <c r="D1528"/>
  <c r="C1528" s="1"/>
  <c r="B1528" s="1"/>
  <c r="D1529"/>
  <c r="C1529" s="1"/>
  <c r="B1529" s="1"/>
  <c r="D1530"/>
  <c r="C1530" s="1"/>
  <c r="B1530" s="1"/>
  <c r="D1531"/>
  <c r="C1531" s="1"/>
  <c r="B1531" s="1"/>
  <c r="D1532"/>
  <c r="C1532" s="1"/>
  <c r="B1532" s="1"/>
  <c r="D1533"/>
  <c r="C1533" s="1"/>
  <c r="B1533" s="1"/>
  <c r="D1534"/>
  <c r="C1534" s="1"/>
  <c r="B1534" s="1"/>
  <c r="D1535"/>
  <c r="C1535" s="1"/>
  <c r="B1535" s="1"/>
  <c r="D1536"/>
  <c r="C1536" s="1"/>
  <c r="B1536" s="1"/>
  <c r="D1537"/>
  <c r="C1537" s="1"/>
  <c r="B1537" s="1"/>
  <c r="D1538"/>
  <c r="C1538" s="1"/>
  <c r="B1538" s="1"/>
  <c r="D1539"/>
  <c r="C1539" s="1"/>
  <c r="B1539" s="1"/>
  <c r="D1540"/>
  <c r="C1540" s="1"/>
  <c r="B1540" s="1"/>
  <c r="D1541"/>
  <c r="C1541" s="1"/>
  <c r="B1541" s="1"/>
  <c r="D1542"/>
  <c r="C1542" s="1"/>
  <c r="B1542" s="1"/>
  <c r="D1543"/>
  <c r="C1543" s="1"/>
  <c r="B1543" s="1"/>
  <c r="D1544"/>
  <c r="C1544" s="1"/>
  <c r="B1544" s="1"/>
  <c r="D1545"/>
  <c r="C1545" s="1"/>
  <c r="B1545" s="1"/>
  <c r="D1546"/>
  <c r="C1546" s="1"/>
  <c r="B1546" s="1"/>
  <c r="D1547"/>
  <c r="C1547" s="1"/>
  <c r="B1547" s="1"/>
  <c r="D1548"/>
  <c r="C1548" s="1"/>
  <c r="B1548" s="1"/>
  <c r="D1549"/>
  <c r="C1549" s="1"/>
  <c r="B1549" s="1"/>
  <c r="D1550"/>
  <c r="C1550" s="1"/>
  <c r="B1550" s="1"/>
  <c r="D1551"/>
  <c r="C1551" s="1"/>
  <c r="B1551" s="1"/>
  <c r="D1552"/>
  <c r="C1552" s="1"/>
  <c r="B1552" s="1"/>
  <c r="D1553"/>
  <c r="C1553" s="1"/>
  <c r="B1553" s="1"/>
  <c r="D1554"/>
  <c r="C1554" s="1"/>
  <c r="B1554" s="1"/>
  <c r="D1555"/>
  <c r="C1555" s="1"/>
  <c r="B1555" s="1"/>
  <c r="D1556"/>
  <c r="C1556" s="1"/>
  <c r="B1556" s="1"/>
  <c r="D1557"/>
  <c r="C1557" s="1"/>
  <c r="B1557" s="1"/>
  <c r="D1558"/>
  <c r="C1558" s="1"/>
  <c r="B1558" s="1"/>
  <c r="D1559"/>
  <c r="C1559" s="1"/>
  <c r="B1559" s="1"/>
  <c r="D1560"/>
  <c r="C1560" s="1"/>
  <c r="B1560" s="1"/>
  <c r="D1561"/>
  <c r="C1561" s="1"/>
  <c r="B1561" s="1"/>
  <c r="D1562"/>
  <c r="C1562" s="1"/>
  <c r="B1562" s="1"/>
  <c r="D1563"/>
  <c r="C1563" s="1"/>
  <c r="B1563" s="1"/>
  <c r="D1564"/>
  <c r="C1564" s="1"/>
  <c r="B1564" s="1"/>
  <c r="D1565"/>
  <c r="C1565" s="1"/>
  <c r="B1565" s="1"/>
  <c r="D1566"/>
  <c r="C1566" s="1"/>
  <c r="B1566" s="1"/>
  <c r="D1567"/>
  <c r="C1567" s="1"/>
  <c r="B1567" s="1"/>
  <c r="D1568"/>
  <c r="C1568" s="1"/>
  <c r="B1568" s="1"/>
  <c r="D1569"/>
  <c r="C1569" s="1"/>
  <c r="B1569" s="1"/>
  <c r="D1570"/>
  <c r="C1570" s="1"/>
  <c r="B1570" s="1"/>
  <c r="D1571"/>
  <c r="C1571" s="1"/>
  <c r="B1571" s="1"/>
  <c r="D1572"/>
  <c r="C1572" s="1"/>
  <c r="B1572" s="1"/>
  <c r="D1573"/>
  <c r="C1573" s="1"/>
  <c r="B1573" s="1"/>
  <c r="D1574"/>
  <c r="C1574" s="1"/>
  <c r="B1574" s="1"/>
  <c r="D1575"/>
  <c r="C1575" s="1"/>
  <c r="B1575" s="1"/>
  <c r="D1576"/>
  <c r="C1576" s="1"/>
  <c r="B1576" s="1"/>
  <c r="D1577"/>
  <c r="C1577" s="1"/>
  <c r="B1577" s="1"/>
  <c r="D1578"/>
  <c r="C1578" s="1"/>
  <c r="B1578" s="1"/>
  <c r="D1579"/>
  <c r="C1579" s="1"/>
  <c r="B1579" s="1"/>
  <c r="D1580"/>
  <c r="C1580" s="1"/>
  <c r="B1580" s="1"/>
  <c r="D1581"/>
  <c r="C1581" s="1"/>
  <c r="B1581" s="1"/>
  <c r="D1582"/>
  <c r="C1582" s="1"/>
  <c r="B1582" s="1"/>
  <c r="D1583"/>
  <c r="C1583" s="1"/>
  <c r="B1583" s="1"/>
  <c r="D1584"/>
  <c r="C1584" s="1"/>
  <c r="B1584" s="1"/>
  <c r="D1585"/>
  <c r="C1585" s="1"/>
  <c r="B1585" s="1"/>
  <c r="D1586"/>
  <c r="C1586" s="1"/>
  <c r="B1586" s="1"/>
  <c r="D1587"/>
  <c r="C1587" s="1"/>
  <c r="B1587" s="1"/>
  <c r="D1588"/>
  <c r="C1588" s="1"/>
  <c r="B1588" s="1"/>
  <c r="D1589"/>
  <c r="C1589" s="1"/>
  <c r="B1589" s="1"/>
  <c r="D1590"/>
  <c r="C1590" s="1"/>
  <c r="B1590" s="1"/>
  <c r="D1591"/>
  <c r="C1591" s="1"/>
  <c r="B1591" s="1"/>
  <c r="D1592"/>
  <c r="C1592" s="1"/>
  <c r="B1592" s="1"/>
  <c r="D1593"/>
  <c r="C1593" s="1"/>
  <c r="B1593" s="1"/>
  <c r="D1594"/>
  <c r="C1594" s="1"/>
  <c r="B1594" s="1"/>
  <c r="D1595"/>
  <c r="C1595" s="1"/>
  <c r="B1595" s="1"/>
  <c r="D1596"/>
  <c r="C1596" s="1"/>
  <c r="B1596" s="1"/>
  <c r="D1597"/>
  <c r="C1597" s="1"/>
  <c r="B1597" s="1"/>
  <c r="D1598"/>
  <c r="C1598" s="1"/>
  <c r="B1598" s="1"/>
  <c r="D1599"/>
  <c r="C1599" s="1"/>
  <c r="B1599" s="1"/>
  <c r="D1600"/>
  <c r="C1600" s="1"/>
  <c r="B1600" s="1"/>
  <c r="D1601"/>
  <c r="C1601" s="1"/>
  <c r="B1601" s="1"/>
  <c r="D1602"/>
  <c r="C1602" s="1"/>
  <c r="B1602" s="1"/>
  <c r="D1603"/>
  <c r="C1603" s="1"/>
  <c r="B1603" s="1"/>
  <c r="D1604"/>
  <c r="C1604" s="1"/>
  <c r="B1604" s="1"/>
  <c r="D1605"/>
  <c r="C1605" s="1"/>
  <c r="B1605" s="1"/>
  <c r="D1606"/>
  <c r="C1606" s="1"/>
  <c r="B1606" s="1"/>
  <c r="D1607"/>
  <c r="C1607" s="1"/>
  <c r="B1607" s="1"/>
  <c r="D1608"/>
  <c r="C1608" s="1"/>
  <c r="B1608" s="1"/>
  <c r="D1609"/>
  <c r="C1609" s="1"/>
  <c r="B1609" s="1"/>
  <c r="D1610"/>
  <c r="C1610" s="1"/>
  <c r="B1610" s="1"/>
  <c r="D1611"/>
  <c r="C1611" s="1"/>
  <c r="B1611" s="1"/>
  <c r="D1612"/>
  <c r="C1612" s="1"/>
  <c r="B1612" s="1"/>
  <c r="D1613"/>
  <c r="C1613" s="1"/>
  <c r="B1613" s="1"/>
  <c r="D1614"/>
  <c r="C1614" s="1"/>
  <c r="B1614" s="1"/>
  <c r="D1615"/>
  <c r="C1615" s="1"/>
  <c r="B1615" s="1"/>
  <c r="D1616"/>
  <c r="C1616" s="1"/>
  <c r="B1616" s="1"/>
  <c r="D1617"/>
  <c r="C1617" s="1"/>
  <c r="B1617" s="1"/>
  <c r="D1618"/>
  <c r="C1618" s="1"/>
  <c r="B1618" s="1"/>
  <c r="D1619"/>
  <c r="C1619" s="1"/>
  <c r="B1619" s="1"/>
  <c r="D1620"/>
  <c r="C1620" s="1"/>
  <c r="B1620" s="1"/>
  <c r="D1621"/>
  <c r="C1621" s="1"/>
  <c r="B1621" s="1"/>
  <c r="D1622"/>
  <c r="C1622" s="1"/>
  <c r="B1622" s="1"/>
  <c r="D1623"/>
  <c r="C1623" s="1"/>
  <c r="B1623" s="1"/>
  <c r="D1624"/>
  <c r="C1624" s="1"/>
  <c r="B1624" s="1"/>
  <c r="D1625"/>
  <c r="C1625" s="1"/>
  <c r="B1625" s="1"/>
  <c r="D1626"/>
  <c r="C1626" s="1"/>
  <c r="B1626" s="1"/>
  <c r="D1627"/>
  <c r="C1627" s="1"/>
  <c r="B1627" s="1"/>
  <c r="D1628"/>
  <c r="C1628" s="1"/>
  <c r="B1628" s="1"/>
  <c r="D1629"/>
  <c r="C1629" s="1"/>
  <c r="B1629" s="1"/>
  <c r="D1630"/>
  <c r="C1630" s="1"/>
  <c r="B1630" s="1"/>
  <c r="D1631"/>
  <c r="C1631" s="1"/>
  <c r="B1631" s="1"/>
  <c r="D1632"/>
  <c r="C1632" s="1"/>
  <c r="B1632" s="1"/>
  <c r="D1633"/>
  <c r="C1633" s="1"/>
  <c r="B1633" s="1"/>
  <c r="D1634"/>
  <c r="C1634" s="1"/>
  <c r="B1634" s="1"/>
  <c r="D1635"/>
  <c r="C1635" s="1"/>
  <c r="B1635" s="1"/>
  <c r="D1636"/>
  <c r="C1636" s="1"/>
  <c r="B1636" s="1"/>
  <c r="D1637"/>
  <c r="C1637" s="1"/>
  <c r="B1637" s="1"/>
  <c r="D1638"/>
  <c r="C1638" s="1"/>
  <c r="B1638" s="1"/>
  <c r="D1639"/>
  <c r="C1639" s="1"/>
  <c r="B1639" s="1"/>
  <c r="D1640"/>
  <c r="C1640" s="1"/>
  <c r="B1640" s="1"/>
  <c r="D1641"/>
  <c r="C1641" s="1"/>
  <c r="B1641" s="1"/>
  <c r="D1642"/>
  <c r="C1642" s="1"/>
  <c r="B1642" s="1"/>
  <c r="D1643"/>
  <c r="C1643" s="1"/>
  <c r="B1643" s="1"/>
  <c r="D1644"/>
  <c r="C1644" s="1"/>
  <c r="B1644" s="1"/>
  <c r="D1645"/>
  <c r="C1645" s="1"/>
  <c r="B1645" s="1"/>
  <c r="D1646"/>
  <c r="C1646" s="1"/>
  <c r="B1646" s="1"/>
  <c r="D1647"/>
  <c r="C1647" s="1"/>
  <c r="B1647" s="1"/>
  <c r="D1648"/>
  <c r="C1648" s="1"/>
  <c r="B1648" s="1"/>
  <c r="D1649"/>
  <c r="C1649" s="1"/>
  <c r="B1649" s="1"/>
  <c r="D1650"/>
  <c r="C1650" s="1"/>
  <c r="B1650" s="1"/>
  <c r="D1651"/>
  <c r="C1651" s="1"/>
  <c r="B1651" s="1"/>
  <c r="D1652"/>
  <c r="C1652" s="1"/>
  <c r="B1652" s="1"/>
  <c r="D1653"/>
  <c r="C1653" s="1"/>
  <c r="B1653" s="1"/>
  <c r="D1654"/>
  <c r="C1654" s="1"/>
  <c r="B1654" s="1"/>
  <c r="D1655"/>
  <c r="C1655" s="1"/>
  <c r="B1655" s="1"/>
  <c r="D1656"/>
  <c r="C1656" s="1"/>
  <c r="B1656" s="1"/>
  <c r="D1657"/>
  <c r="C1657" s="1"/>
  <c r="B1657" s="1"/>
  <c r="D1658"/>
  <c r="C1658" s="1"/>
  <c r="B1658" s="1"/>
  <c r="D1659"/>
  <c r="C1659" s="1"/>
  <c r="B1659" s="1"/>
  <c r="D1660"/>
  <c r="C1660" s="1"/>
  <c r="B1660" s="1"/>
  <c r="D1661"/>
  <c r="C1661" s="1"/>
  <c r="B1661" s="1"/>
  <c r="D1662"/>
  <c r="C1662" s="1"/>
  <c r="B1662" s="1"/>
  <c r="D1663"/>
  <c r="C1663" s="1"/>
  <c r="B1663" s="1"/>
  <c r="D1664"/>
  <c r="C1664" s="1"/>
  <c r="B1664" s="1"/>
  <c r="D1665"/>
  <c r="C1665" s="1"/>
  <c r="B1665" s="1"/>
  <c r="D1666"/>
  <c r="C1666" s="1"/>
  <c r="B1666" s="1"/>
  <c r="D1667"/>
  <c r="C1667" s="1"/>
  <c r="B1667" s="1"/>
  <c r="D1668"/>
  <c r="C1668" s="1"/>
  <c r="B1668" s="1"/>
  <c r="D1669"/>
  <c r="C1669" s="1"/>
  <c r="B1669" s="1"/>
  <c r="D1670"/>
  <c r="C1670" s="1"/>
  <c r="B1670" s="1"/>
  <c r="D1671"/>
  <c r="C1671" s="1"/>
  <c r="B1671" s="1"/>
  <c r="D1672"/>
  <c r="C1672" s="1"/>
  <c r="B1672" s="1"/>
  <c r="D1673"/>
  <c r="C1673" s="1"/>
  <c r="B1673" s="1"/>
  <c r="D1674"/>
  <c r="C1674" s="1"/>
  <c r="B1674" s="1"/>
  <c r="D1675"/>
  <c r="C1675" s="1"/>
  <c r="B1675" s="1"/>
  <c r="D1676"/>
  <c r="C1676" s="1"/>
  <c r="B1676" s="1"/>
  <c r="D1677"/>
  <c r="C1677" s="1"/>
  <c r="B1677" s="1"/>
  <c r="D1678"/>
  <c r="C1678" s="1"/>
  <c r="B1678" s="1"/>
  <c r="D1679"/>
  <c r="C1679" s="1"/>
  <c r="B1679" s="1"/>
  <c r="D1680"/>
  <c r="C1680" s="1"/>
  <c r="B1680" s="1"/>
  <c r="D1681"/>
  <c r="C1681" s="1"/>
  <c r="B1681" s="1"/>
  <c r="D1682"/>
  <c r="C1682" s="1"/>
  <c r="B1682" s="1"/>
  <c r="D1683"/>
  <c r="C1683" s="1"/>
  <c r="B1683" s="1"/>
  <c r="D1684"/>
  <c r="C1684" s="1"/>
  <c r="B1684" s="1"/>
  <c r="D1685"/>
  <c r="C1685" s="1"/>
  <c r="B1685" s="1"/>
  <c r="D1686"/>
  <c r="C1686" s="1"/>
  <c r="B1686" s="1"/>
  <c r="D1687"/>
  <c r="C1687" s="1"/>
  <c r="B1687" s="1"/>
  <c r="D1688"/>
  <c r="C1688" s="1"/>
  <c r="B1688" s="1"/>
  <c r="D1689"/>
  <c r="C1689" s="1"/>
  <c r="B1689" s="1"/>
  <c r="D1690"/>
  <c r="C1690" s="1"/>
  <c r="B1690" s="1"/>
  <c r="D1691"/>
  <c r="C1691" s="1"/>
  <c r="B1691" s="1"/>
  <c r="D1692"/>
  <c r="C1692" s="1"/>
  <c r="B1692" s="1"/>
  <c r="D1693"/>
  <c r="C1693" s="1"/>
  <c r="B1693" s="1"/>
  <c r="D1694"/>
  <c r="C1694" s="1"/>
  <c r="B1694" s="1"/>
  <c r="D1695"/>
  <c r="C1695" s="1"/>
  <c r="B1695" s="1"/>
  <c r="D1696"/>
  <c r="C1696" s="1"/>
  <c r="B1696" s="1"/>
  <c r="D1697"/>
  <c r="C1697" s="1"/>
  <c r="B1697" s="1"/>
  <c r="D1698"/>
  <c r="C1698" s="1"/>
  <c r="B1698" s="1"/>
  <c r="D1699"/>
  <c r="C1699" s="1"/>
  <c r="B1699" s="1"/>
  <c r="D1700"/>
  <c r="C1700" s="1"/>
  <c r="B1700" s="1"/>
  <c r="D1701"/>
  <c r="C1701" s="1"/>
  <c r="B1701" s="1"/>
  <c r="D1702"/>
  <c r="C1702" s="1"/>
  <c r="B1702" s="1"/>
  <c r="D1703"/>
  <c r="C1703" s="1"/>
  <c r="B1703" s="1"/>
  <c r="D1704"/>
  <c r="C1704" s="1"/>
  <c r="B1704" s="1"/>
  <c r="D1705"/>
  <c r="C1705" s="1"/>
  <c r="B1705" s="1"/>
  <c r="D1706"/>
  <c r="C1706" s="1"/>
  <c r="B1706" s="1"/>
  <c r="D1707"/>
  <c r="C1707" s="1"/>
  <c r="B1707" s="1"/>
  <c r="D1708"/>
  <c r="C1708" s="1"/>
  <c r="B1708" s="1"/>
  <c r="D1709"/>
  <c r="C1709" s="1"/>
  <c r="B1709" s="1"/>
  <c r="D1710"/>
  <c r="C1710" s="1"/>
  <c r="B1710" s="1"/>
  <c r="D1711"/>
  <c r="C1711" s="1"/>
  <c r="B1711" s="1"/>
  <c r="D1712"/>
  <c r="C1712" s="1"/>
  <c r="B1712" s="1"/>
  <c r="D1713"/>
  <c r="C1713" s="1"/>
  <c r="B1713" s="1"/>
  <c r="D1714"/>
  <c r="C1714" s="1"/>
  <c r="B1714" s="1"/>
  <c r="D1715"/>
  <c r="C1715" s="1"/>
  <c r="B1715" s="1"/>
  <c r="D1716"/>
  <c r="C1716" s="1"/>
  <c r="B1716" s="1"/>
  <c r="D1717"/>
  <c r="C1717" s="1"/>
  <c r="B1717" s="1"/>
  <c r="D1718"/>
  <c r="C1718" s="1"/>
  <c r="B1718" s="1"/>
  <c r="D1719"/>
  <c r="C1719" s="1"/>
  <c r="B1719" s="1"/>
  <c r="D1720"/>
  <c r="C1720" s="1"/>
  <c r="B1720" s="1"/>
  <c r="D1721"/>
  <c r="C1721" s="1"/>
  <c r="B1721" s="1"/>
  <c r="D1722"/>
  <c r="C1722" s="1"/>
  <c r="B1722" s="1"/>
  <c r="D1723"/>
  <c r="C1723" s="1"/>
  <c r="B1723" s="1"/>
  <c r="D1724"/>
  <c r="C1724" s="1"/>
  <c r="B1724" s="1"/>
  <c r="D1725"/>
  <c r="C1725" s="1"/>
  <c r="B1725" s="1"/>
  <c r="D1726"/>
  <c r="C1726" s="1"/>
  <c r="B1726" s="1"/>
  <c r="D1727"/>
  <c r="C1727" s="1"/>
  <c r="B1727" s="1"/>
  <c r="D1728"/>
  <c r="C1728" s="1"/>
  <c r="B1728" s="1"/>
  <c r="D1729"/>
  <c r="C1729" s="1"/>
  <c r="B1729" s="1"/>
  <c r="D1730"/>
  <c r="C1730" s="1"/>
  <c r="B1730" s="1"/>
  <c r="D1731"/>
  <c r="C1731" s="1"/>
  <c r="B1731" s="1"/>
  <c r="D1732"/>
  <c r="C1732" s="1"/>
  <c r="B1732" s="1"/>
  <c r="D1733"/>
  <c r="C1733" s="1"/>
  <c r="B1733" s="1"/>
  <c r="D1734"/>
  <c r="C1734" s="1"/>
  <c r="B1734" s="1"/>
  <c r="D1735"/>
  <c r="C1735" s="1"/>
  <c r="B1735" s="1"/>
  <c r="D1736"/>
  <c r="C1736" s="1"/>
  <c r="B1736" s="1"/>
  <c r="D1737"/>
  <c r="C1737" s="1"/>
  <c r="B1737" s="1"/>
  <c r="D1738"/>
  <c r="C1738" s="1"/>
  <c r="B1738" s="1"/>
  <c r="D1739"/>
  <c r="C1739" s="1"/>
  <c r="B1739" s="1"/>
  <c r="D1740"/>
  <c r="C1740" s="1"/>
  <c r="B1740" s="1"/>
  <c r="D1741"/>
  <c r="C1741" s="1"/>
  <c r="B1741" s="1"/>
  <c r="D1742"/>
  <c r="C1742" s="1"/>
  <c r="B1742" s="1"/>
  <c r="D1743"/>
  <c r="C1743" s="1"/>
  <c r="B1743" s="1"/>
  <c r="D1744"/>
  <c r="C1744" s="1"/>
  <c r="B1744" s="1"/>
  <c r="D1745"/>
  <c r="C1745" s="1"/>
  <c r="B1745" s="1"/>
  <c r="D1746"/>
  <c r="C1746" s="1"/>
  <c r="B1746" s="1"/>
  <c r="D1747"/>
  <c r="C1747" s="1"/>
  <c r="B1747" s="1"/>
  <c r="D1748"/>
  <c r="C1748" s="1"/>
  <c r="B1748" s="1"/>
  <c r="D1749"/>
  <c r="C1749" s="1"/>
  <c r="B1749" s="1"/>
  <c r="D1750"/>
  <c r="C1750" s="1"/>
  <c r="B1750" s="1"/>
  <c r="D1751"/>
  <c r="C1751" s="1"/>
  <c r="B1751" s="1"/>
  <c r="D1752"/>
  <c r="C1752" s="1"/>
  <c r="B1752" s="1"/>
  <c r="D1753"/>
  <c r="C1753" s="1"/>
  <c r="B1753" s="1"/>
  <c r="D1754"/>
  <c r="C1754" s="1"/>
  <c r="B1754" s="1"/>
  <c r="D1755"/>
  <c r="C1755" s="1"/>
  <c r="B1755" s="1"/>
  <c r="D1756"/>
  <c r="C1756" s="1"/>
  <c r="B1756" s="1"/>
  <c r="D1757"/>
  <c r="C1757" s="1"/>
  <c r="B1757" s="1"/>
  <c r="D1758"/>
  <c r="C1758" s="1"/>
  <c r="B1758" s="1"/>
  <c r="D1759"/>
  <c r="C1759" s="1"/>
  <c r="B1759" s="1"/>
  <c r="D1760"/>
  <c r="C1760" s="1"/>
  <c r="B1760" s="1"/>
  <c r="D1761"/>
  <c r="C1761" s="1"/>
  <c r="B1761" s="1"/>
  <c r="D1762"/>
  <c r="C1762" s="1"/>
  <c r="B1762" s="1"/>
  <c r="D1763"/>
  <c r="C1763" s="1"/>
  <c r="B1763" s="1"/>
  <c r="D1764"/>
  <c r="C1764" s="1"/>
  <c r="B1764" s="1"/>
  <c r="D1765"/>
  <c r="C1765" s="1"/>
  <c r="B1765" s="1"/>
  <c r="D1766"/>
  <c r="C1766" s="1"/>
  <c r="B1766" s="1"/>
  <c r="D1767"/>
  <c r="C1767" s="1"/>
  <c r="B1767" s="1"/>
  <c r="D1768"/>
  <c r="C1768" s="1"/>
  <c r="B1768" s="1"/>
  <c r="D1769"/>
  <c r="C1769" s="1"/>
  <c r="B1769" s="1"/>
  <c r="D1770"/>
  <c r="C1770" s="1"/>
  <c r="B1770" s="1"/>
  <c r="D1771"/>
  <c r="C1771" s="1"/>
  <c r="B1771" s="1"/>
  <c r="D1772"/>
  <c r="C1772" s="1"/>
  <c r="B1772" s="1"/>
  <c r="D1773"/>
  <c r="C1773" s="1"/>
  <c r="B1773" s="1"/>
  <c r="D1774"/>
  <c r="C1774" s="1"/>
  <c r="B1774" s="1"/>
  <c r="D1775"/>
  <c r="C1775" s="1"/>
  <c r="B1775" s="1"/>
  <c r="D1776"/>
  <c r="C1776" s="1"/>
  <c r="B1776" s="1"/>
  <c r="D1777"/>
  <c r="C1777" s="1"/>
  <c r="B1777" s="1"/>
  <c r="D1778"/>
  <c r="C1778" s="1"/>
  <c r="B1778" s="1"/>
  <c r="D1779"/>
  <c r="C1779" s="1"/>
  <c r="B1779" s="1"/>
  <c r="D1780"/>
  <c r="C1780" s="1"/>
  <c r="B1780" s="1"/>
  <c r="D1781"/>
  <c r="C1781" s="1"/>
  <c r="B1781" s="1"/>
  <c r="D1782"/>
  <c r="C1782" s="1"/>
  <c r="B1782" s="1"/>
  <c r="D1783"/>
  <c r="C1783" s="1"/>
  <c r="B1783" s="1"/>
  <c r="D1784"/>
  <c r="C1784" s="1"/>
  <c r="B1784" s="1"/>
  <c r="D1785"/>
  <c r="C1785" s="1"/>
  <c r="B1785" s="1"/>
  <c r="D1786"/>
  <c r="C1786" s="1"/>
  <c r="B1786" s="1"/>
  <c r="D1787"/>
  <c r="C1787" s="1"/>
  <c r="B1787" s="1"/>
  <c r="D1788"/>
  <c r="C1788" s="1"/>
  <c r="B1788" s="1"/>
  <c r="D1789"/>
  <c r="C1789" s="1"/>
  <c r="B1789" s="1"/>
  <c r="D1790"/>
  <c r="C1790" s="1"/>
  <c r="B1790" s="1"/>
  <c r="D1791"/>
  <c r="C1791" s="1"/>
  <c r="B1791" s="1"/>
  <c r="D1792"/>
  <c r="C1792" s="1"/>
  <c r="B1792" s="1"/>
  <c r="D1793"/>
  <c r="C1793" s="1"/>
  <c r="B1793" s="1"/>
  <c r="D1794"/>
  <c r="C1794" s="1"/>
  <c r="B1794" s="1"/>
  <c r="D1795"/>
  <c r="C1795" s="1"/>
  <c r="B1795" s="1"/>
  <c r="D1796"/>
  <c r="C1796" s="1"/>
  <c r="B1796" s="1"/>
  <c r="D1797"/>
  <c r="C1797" s="1"/>
  <c r="B1797" s="1"/>
  <c r="D1798"/>
  <c r="C1798" s="1"/>
  <c r="B1798" s="1"/>
  <c r="D1799"/>
  <c r="C1799" s="1"/>
  <c r="B1799" s="1"/>
  <c r="D1800"/>
  <c r="C1800" s="1"/>
  <c r="B1800" s="1"/>
  <c r="D1801"/>
  <c r="C1801" s="1"/>
  <c r="B1801" s="1"/>
  <c r="D1802"/>
  <c r="C1802" s="1"/>
  <c r="B1802" s="1"/>
  <c r="D1803"/>
  <c r="C1803" s="1"/>
  <c r="B1803" s="1"/>
  <c r="D1804"/>
  <c r="C1804" s="1"/>
  <c r="B1804" s="1"/>
  <c r="D1805"/>
  <c r="C1805" s="1"/>
  <c r="B1805" s="1"/>
  <c r="D1806"/>
  <c r="C1806" s="1"/>
  <c r="B1806" s="1"/>
  <c r="D1807"/>
  <c r="C1807" s="1"/>
  <c r="B1807" s="1"/>
  <c r="D1808"/>
  <c r="C1808" s="1"/>
  <c r="B1808" s="1"/>
  <c r="D1809"/>
  <c r="C1809" s="1"/>
  <c r="B1809" s="1"/>
  <c r="D1810"/>
  <c r="C1810" s="1"/>
  <c r="B1810" s="1"/>
  <c r="D1811"/>
  <c r="C1811" s="1"/>
  <c r="B1811" s="1"/>
  <c r="D1812"/>
  <c r="C1812" s="1"/>
  <c r="B1812" s="1"/>
  <c r="D1813"/>
  <c r="C1813" s="1"/>
  <c r="B1813" s="1"/>
  <c r="D1814"/>
  <c r="C1814" s="1"/>
  <c r="B1814" s="1"/>
  <c r="D1815"/>
  <c r="C1815" s="1"/>
  <c r="B1815" s="1"/>
  <c r="D1816"/>
  <c r="C1816" s="1"/>
  <c r="B1816" s="1"/>
  <c r="D1817"/>
  <c r="C1817" s="1"/>
  <c r="B1817" s="1"/>
  <c r="D1818"/>
  <c r="C1818" s="1"/>
  <c r="B1818" s="1"/>
  <c r="D1819"/>
  <c r="C1819" s="1"/>
  <c r="B1819" s="1"/>
  <c r="D1820"/>
  <c r="C1820" s="1"/>
  <c r="B1820" s="1"/>
  <c r="D1821"/>
  <c r="C1821" s="1"/>
  <c r="B1821" s="1"/>
  <c r="D1822"/>
  <c r="C1822" s="1"/>
  <c r="B1822" s="1"/>
  <c r="D1823"/>
  <c r="C1823" s="1"/>
  <c r="B1823" s="1"/>
  <c r="D1824"/>
  <c r="C1824" s="1"/>
  <c r="B1824" s="1"/>
  <c r="D1825"/>
  <c r="C1825" s="1"/>
  <c r="B1825" s="1"/>
  <c r="D1826"/>
  <c r="C1826" s="1"/>
  <c r="B1826" s="1"/>
  <c r="D1827"/>
  <c r="C1827" s="1"/>
  <c r="B1827" s="1"/>
  <c r="D1828"/>
  <c r="C1828" s="1"/>
  <c r="B1828" s="1"/>
  <c r="D1829"/>
  <c r="C1829" s="1"/>
  <c r="B1829" s="1"/>
  <c r="D1830"/>
  <c r="C1830" s="1"/>
  <c r="B1830" s="1"/>
  <c r="D1831"/>
  <c r="C1831" s="1"/>
  <c r="B1831" s="1"/>
  <c r="D1832"/>
  <c r="C1832" s="1"/>
  <c r="B1832" s="1"/>
  <c r="D1833"/>
  <c r="C1833" s="1"/>
  <c r="B1833" s="1"/>
  <c r="D1834"/>
  <c r="C1834" s="1"/>
  <c r="B1834" s="1"/>
  <c r="D1835"/>
  <c r="C1835" s="1"/>
  <c r="B1835" s="1"/>
  <c r="D1836"/>
  <c r="C1836" s="1"/>
  <c r="B1836" s="1"/>
  <c r="D1837"/>
  <c r="C1837" s="1"/>
  <c r="B1837" s="1"/>
  <c r="D1838"/>
  <c r="C1838" s="1"/>
  <c r="B1838" s="1"/>
  <c r="D1839"/>
  <c r="C1839" s="1"/>
  <c r="B1839" s="1"/>
  <c r="D1840"/>
  <c r="C1840" s="1"/>
  <c r="B1840" s="1"/>
  <c r="D1841"/>
  <c r="C1841" s="1"/>
  <c r="B1841" s="1"/>
  <c r="D1842"/>
  <c r="C1842" s="1"/>
  <c r="B1842" s="1"/>
  <c r="D1843"/>
  <c r="C1843" s="1"/>
  <c r="B1843" s="1"/>
  <c r="D1844"/>
  <c r="C1844" s="1"/>
  <c r="B1844" s="1"/>
  <c r="D1845"/>
  <c r="C1845" s="1"/>
  <c r="B1845" s="1"/>
  <c r="D1846"/>
  <c r="C1846" s="1"/>
  <c r="B1846" s="1"/>
  <c r="D1847"/>
  <c r="C1847" s="1"/>
  <c r="B1847" s="1"/>
  <c r="D1848"/>
  <c r="C1848" s="1"/>
  <c r="B1848" s="1"/>
  <c r="D1849"/>
  <c r="C1849" s="1"/>
  <c r="B1849" s="1"/>
  <c r="D1850"/>
  <c r="C1850" s="1"/>
  <c r="B1850" s="1"/>
  <c r="D1851"/>
  <c r="C1851" s="1"/>
  <c r="B1851" s="1"/>
  <c r="D1852"/>
  <c r="C1852" s="1"/>
  <c r="B1852" s="1"/>
  <c r="D1853"/>
  <c r="C1853" s="1"/>
  <c r="B1853" s="1"/>
  <c r="D1854"/>
  <c r="C1854" s="1"/>
  <c r="B1854" s="1"/>
  <c r="D1855"/>
  <c r="C1855" s="1"/>
  <c r="B1855" s="1"/>
  <c r="D1856"/>
  <c r="C1856" s="1"/>
  <c r="B1856" s="1"/>
  <c r="D1857"/>
  <c r="C1857" s="1"/>
  <c r="B1857" s="1"/>
  <c r="D1858"/>
  <c r="C1858" s="1"/>
  <c r="B1858" s="1"/>
  <c r="D1859"/>
  <c r="C1859" s="1"/>
  <c r="B1859" s="1"/>
  <c r="D1860"/>
  <c r="C1860" s="1"/>
  <c r="B1860" s="1"/>
  <c r="D1861"/>
  <c r="C1861" s="1"/>
  <c r="B1861" s="1"/>
  <c r="D1862"/>
  <c r="C1862" s="1"/>
  <c r="B1862" s="1"/>
  <c r="D1863"/>
  <c r="C1863" s="1"/>
  <c r="B1863" s="1"/>
  <c r="D1864"/>
  <c r="C1864" s="1"/>
  <c r="B1864" s="1"/>
  <c r="D1865"/>
  <c r="C1865" s="1"/>
  <c r="B1865" s="1"/>
  <c r="D1866"/>
  <c r="C1866" s="1"/>
  <c r="B1866" s="1"/>
  <c r="D1867"/>
  <c r="C1867" s="1"/>
  <c r="B1867" s="1"/>
  <c r="D1868"/>
  <c r="C1868" s="1"/>
  <c r="B1868" s="1"/>
  <c r="D1869"/>
  <c r="C1869" s="1"/>
  <c r="B1869" s="1"/>
  <c r="D1870"/>
  <c r="C1870" s="1"/>
  <c r="B1870" s="1"/>
  <c r="D1871"/>
  <c r="C1871" s="1"/>
  <c r="B1871" s="1"/>
  <c r="D1872"/>
  <c r="C1872" s="1"/>
  <c r="B1872" s="1"/>
  <c r="D1873"/>
  <c r="C1873" s="1"/>
  <c r="B1873" s="1"/>
  <c r="D1874"/>
  <c r="C1874" s="1"/>
  <c r="B1874" s="1"/>
  <c r="D1875"/>
  <c r="C1875" s="1"/>
  <c r="B1875" s="1"/>
  <c r="D1876"/>
  <c r="C1876" s="1"/>
  <c r="B1876" s="1"/>
  <c r="D1877"/>
  <c r="C1877" s="1"/>
  <c r="B1877" s="1"/>
  <c r="D1878"/>
  <c r="C1878" s="1"/>
  <c r="B1878" s="1"/>
  <c r="D1879"/>
  <c r="C1879" s="1"/>
  <c r="B1879" s="1"/>
  <c r="D1880"/>
  <c r="C1880" s="1"/>
  <c r="B1880" s="1"/>
  <c r="D1881"/>
  <c r="C1881" s="1"/>
  <c r="B1881" s="1"/>
  <c r="D1882"/>
  <c r="C1882" s="1"/>
  <c r="B1882" s="1"/>
  <c r="D1883"/>
  <c r="C1883" s="1"/>
  <c r="B1883" s="1"/>
  <c r="D1884"/>
  <c r="C1884" s="1"/>
  <c r="B1884" s="1"/>
  <c r="D1885"/>
  <c r="C1885" s="1"/>
  <c r="B1885" s="1"/>
  <c r="D1886"/>
  <c r="C1886" s="1"/>
  <c r="B1886" s="1"/>
  <c r="D1887"/>
  <c r="C1887" s="1"/>
  <c r="B1887" s="1"/>
  <c r="D1888"/>
  <c r="C1888" s="1"/>
  <c r="B1888" s="1"/>
  <c r="D1889"/>
  <c r="C1889" s="1"/>
  <c r="B1889" s="1"/>
  <c r="D1890"/>
  <c r="C1890" s="1"/>
  <c r="B1890" s="1"/>
  <c r="D1891"/>
  <c r="C1891" s="1"/>
  <c r="B1891" s="1"/>
  <c r="D1892"/>
  <c r="C1892" s="1"/>
  <c r="B1892" s="1"/>
  <c r="D1893"/>
  <c r="C1893" s="1"/>
  <c r="B1893" s="1"/>
  <c r="D1894"/>
  <c r="C1894" s="1"/>
  <c r="B1894" s="1"/>
  <c r="D1895"/>
  <c r="C1895" s="1"/>
  <c r="B1895" s="1"/>
  <c r="D1896"/>
  <c r="C1896" s="1"/>
  <c r="B1896" s="1"/>
  <c r="D1897"/>
  <c r="C1897" s="1"/>
  <c r="B1897" s="1"/>
  <c r="D1898"/>
  <c r="C1898" s="1"/>
  <c r="B1898" s="1"/>
  <c r="D1899"/>
  <c r="C1899" s="1"/>
  <c r="B1899" s="1"/>
  <c r="D1900"/>
  <c r="C1900" s="1"/>
  <c r="B1900" s="1"/>
  <c r="D1901"/>
  <c r="C1901" s="1"/>
  <c r="B1901" s="1"/>
  <c r="D1902"/>
  <c r="C1902" s="1"/>
  <c r="B1902" s="1"/>
  <c r="D1903"/>
  <c r="C1903" s="1"/>
  <c r="B1903" s="1"/>
  <c r="D1904"/>
  <c r="C1904" s="1"/>
  <c r="B1904" s="1"/>
  <c r="D1905"/>
  <c r="C1905" s="1"/>
  <c r="B1905" s="1"/>
  <c r="D1906"/>
  <c r="C1906" s="1"/>
  <c r="B1906" s="1"/>
  <c r="D1907"/>
  <c r="C1907" s="1"/>
  <c r="B1907" s="1"/>
  <c r="D1908"/>
  <c r="C1908" s="1"/>
  <c r="B1908" s="1"/>
  <c r="D1909"/>
  <c r="C1909" s="1"/>
  <c r="B1909" s="1"/>
  <c r="D1910"/>
  <c r="C1910" s="1"/>
  <c r="B1910" s="1"/>
  <c r="D1911"/>
  <c r="C1911" s="1"/>
  <c r="B1911" s="1"/>
  <c r="D1912"/>
  <c r="C1912" s="1"/>
  <c r="B1912" s="1"/>
  <c r="D1913"/>
  <c r="C1913" s="1"/>
  <c r="B1913" s="1"/>
  <c r="D1914"/>
  <c r="C1914" s="1"/>
  <c r="B1914" s="1"/>
  <c r="D1915"/>
  <c r="C1915" s="1"/>
  <c r="B1915" s="1"/>
  <c r="D1916"/>
  <c r="C1916" s="1"/>
  <c r="B1916" s="1"/>
  <c r="D1917"/>
  <c r="C1917" s="1"/>
  <c r="B1917" s="1"/>
  <c r="D1918"/>
  <c r="C1918" s="1"/>
  <c r="B1918" s="1"/>
  <c r="D1919"/>
  <c r="C1919" s="1"/>
  <c r="B1919" s="1"/>
  <c r="D1920"/>
  <c r="C1920" s="1"/>
  <c r="B1920" s="1"/>
  <c r="D1921"/>
  <c r="C1921" s="1"/>
  <c r="B1921" s="1"/>
  <c r="D1922"/>
  <c r="C1922" s="1"/>
  <c r="B1922" s="1"/>
  <c r="D1923"/>
  <c r="C1923" s="1"/>
  <c r="B1923" s="1"/>
  <c r="D1924"/>
  <c r="C1924" s="1"/>
  <c r="B1924" s="1"/>
  <c r="D1925"/>
  <c r="C1925" s="1"/>
  <c r="B1925" s="1"/>
  <c r="D1926"/>
  <c r="C1926" s="1"/>
  <c r="B1926" s="1"/>
  <c r="D1927"/>
  <c r="C1927" s="1"/>
  <c r="B1927" s="1"/>
  <c r="D1928"/>
  <c r="C1928" s="1"/>
  <c r="B1928" s="1"/>
  <c r="D1929"/>
  <c r="C1929" s="1"/>
  <c r="B1929" s="1"/>
  <c r="D1930"/>
  <c r="C1930" s="1"/>
  <c r="B1930" s="1"/>
  <c r="D1931"/>
  <c r="C1931" s="1"/>
  <c r="B1931" s="1"/>
  <c r="D1932"/>
  <c r="C1932" s="1"/>
  <c r="B1932" s="1"/>
  <c r="D1933"/>
  <c r="C1933" s="1"/>
  <c r="B1933" s="1"/>
  <c r="D1934"/>
  <c r="C1934" s="1"/>
  <c r="B1934" s="1"/>
  <c r="D1935"/>
  <c r="C1935" s="1"/>
  <c r="B1935" s="1"/>
  <c r="D1936"/>
  <c r="C1936" s="1"/>
  <c r="B1936" s="1"/>
  <c r="D1937"/>
  <c r="C1937" s="1"/>
  <c r="B1937" s="1"/>
  <c r="D1938"/>
  <c r="C1938" s="1"/>
  <c r="B1938" s="1"/>
  <c r="D1939"/>
  <c r="C1939" s="1"/>
  <c r="B1939" s="1"/>
  <c r="D1940"/>
  <c r="C1940" s="1"/>
  <c r="B1940" s="1"/>
  <c r="D1941"/>
  <c r="C1941" s="1"/>
  <c r="B1941" s="1"/>
  <c r="D1942"/>
  <c r="C1942" s="1"/>
  <c r="B1942" s="1"/>
  <c r="D1943"/>
  <c r="C1943" s="1"/>
  <c r="B1943" s="1"/>
  <c r="D1944"/>
  <c r="C1944" s="1"/>
  <c r="B1944" s="1"/>
  <c r="D1945"/>
  <c r="C1945" s="1"/>
  <c r="B1945" s="1"/>
  <c r="D1946"/>
  <c r="C1946" s="1"/>
  <c r="B1946" s="1"/>
  <c r="D1947"/>
  <c r="C1947" s="1"/>
  <c r="B1947" s="1"/>
  <c r="D1948"/>
  <c r="C1948" s="1"/>
  <c r="B1948" s="1"/>
  <c r="D1949"/>
  <c r="C1949" s="1"/>
  <c r="B1949" s="1"/>
  <c r="D1950"/>
  <c r="C1950" s="1"/>
  <c r="B1950" s="1"/>
  <c r="D1951"/>
  <c r="C1951" s="1"/>
  <c r="B1951" s="1"/>
  <c r="D1952"/>
  <c r="C1952" s="1"/>
  <c r="B1952" s="1"/>
  <c r="D1953"/>
  <c r="C1953" s="1"/>
  <c r="B1953" s="1"/>
  <c r="D1954"/>
  <c r="C1954" s="1"/>
  <c r="B1954" s="1"/>
  <c r="D1955"/>
  <c r="C1955" s="1"/>
  <c r="B1955" s="1"/>
  <c r="D1956"/>
  <c r="C1956" s="1"/>
  <c r="B1956" s="1"/>
  <c r="D1957"/>
  <c r="C1957" s="1"/>
  <c r="B1957" s="1"/>
  <c r="D1958"/>
  <c r="C1958" s="1"/>
  <c r="B1958" s="1"/>
  <c r="D1959"/>
  <c r="C1959" s="1"/>
  <c r="B1959" s="1"/>
  <c r="D1960"/>
  <c r="C1960" s="1"/>
  <c r="B1960" s="1"/>
  <c r="D1961"/>
  <c r="C1961" s="1"/>
  <c r="B1961" s="1"/>
  <c r="D1962"/>
  <c r="C1962" s="1"/>
  <c r="B1962" s="1"/>
  <c r="D1963"/>
  <c r="C1963" s="1"/>
  <c r="B1963" s="1"/>
  <c r="D1964"/>
  <c r="C1964" s="1"/>
  <c r="B1964" s="1"/>
  <c r="D1965"/>
  <c r="C1965" s="1"/>
  <c r="B1965" s="1"/>
  <c r="D1966"/>
  <c r="C1966" s="1"/>
  <c r="B1966" s="1"/>
  <c r="D1967"/>
  <c r="C1967" s="1"/>
  <c r="B1967" s="1"/>
  <c r="D1968"/>
  <c r="C1968" s="1"/>
  <c r="B1968" s="1"/>
  <c r="D1969"/>
  <c r="C1969" s="1"/>
  <c r="B1969" s="1"/>
  <c r="D1970"/>
  <c r="C1970" s="1"/>
  <c r="B1970" s="1"/>
  <c r="D1971"/>
  <c r="C1971" s="1"/>
  <c r="B1971" s="1"/>
  <c r="D1972"/>
  <c r="C1972" s="1"/>
  <c r="B1972" s="1"/>
  <c r="D1973"/>
  <c r="C1973" s="1"/>
  <c r="B1973" s="1"/>
  <c r="D1974"/>
  <c r="C1974" s="1"/>
  <c r="B1974" s="1"/>
  <c r="D1975"/>
  <c r="C1975" s="1"/>
  <c r="B1975" s="1"/>
  <c r="D1976"/>
  <c r="C1976" s="1"/>
  <c r="B1976" s="1"/>
  <c r="D1977"/>
  <c r="C1977" s="1"/>
  <c r="B1977" s="1"/>
  <c r="D1978"/>
  <c r="C1978" s="1"/>
  <c r="B1978" s="1"/>
  <c r="D1979"/>
  <c r="C1979" s="1"/>
  <c r="B1979" s="1"/>
  <c r="D1980"/>
  <c r="C1980" s="1"/>
  <c r="B1980" s="1"/>
  <c r="D1981"/>
  <c r="C1981" s="1"/>
  <c r="B1981" s="1"/>
  <c r="D1982"/>
  <c r="C1982" s="1"/>
  <c r="B1982" s="1"/>
  <c r="D1983"/>
  <c r="C1983" s="1"/>
  <c r="B1983" s="1"/>
  <c r="D1984"/>
  <c r="C1984" s="1"/>
  <c r="B1984" s="1"/>
  <c r="D1985"/>
  <c r="C1985" s="1"/>
  <c r="B1985" s="1"/>
  <c r="D1986"/>
  <c r="C1986" s="1"/>
  <c r="B1986" s="1"/>
  <c r="D1987"/>
  <c r="C1987" s="1"/>
  <c r="B1987" s="1"/>
  <c r="D1988"/>
  <c r="C1988" s="1"/>
  <c r="B1988" s="1"/>
  <c r="D1989"/>
  <c r="C1989" s="1"/>
  <c r="B1989" s="1"/>
  <c r="D1990"/>
  <c r="C1990" s="1"/>
  <c r="B1990" s="1"/>
  <c r="D1991"/>
  <c r="C1991" s="1"/>
  <c r="B1991" s="1"/>
  <c r="D1992"/>
  <c r="C1992" s="1"/>
  <c r="B1992" s="1"/>
  <c r="D1993"/>
  <c r="C1993" s="1"/>
  <c r="B1993" s="1"/>
  <c r="D1994"/>
  <c r="C1994" s="1"/>
  <c r="B1994" s="1"/>
  <c r="D1995"/>
  <c r="C1995" s="1"/>
  <c r="B1995" s="1"/>
  <c r="D1996"/>
  <c r="C1996" s="1"/>
  <c r="B1996" s="1"/>
  <c r="D1997"/>
  <c r="C1997" s="1"/>
  <c r="B1997" s="1"/>
  <c r="D1998"/>
  <c r="C1998" s="1"/>
  <c r="B1998" s="1"/>
  <c r="D1999"/>
  <c r="C1999" s="1"/>
  <c r="B1999" s="1"/>
  <c r="D2000"/>
  <c r="C2000" s="1"/>
  <c r="B2000" s="1"/>
  <c r="D2001"/>
  <c r="C2001" s="1"/>
  <c r="B2001" s="1"/>
  <c r="D2002"/>
  <c r="C2002" s="1"/>
  <c r="B2002" s="1"/>
  <c r="D2003"/>
  <c r="C2003" s="1"/>
  <c r="B2003" s="1"/>
  <c r="D2004"/>
  <c r="C2004" s="1"/>
  <c r="B2004" s="1"/>
  <c r="D2005"/>
  <c r="C2005" s="1"/>
  <c r="B2005" s="1"/>
  <c r="D2006"/>
  <c r="C2006" s="1"/>
  <c r="B2006" s="1"/>
  <c r="D2007"/>
  <c r="C2007" s="1"/>
  <c r="B2007" s="1"/>
  <c r="D2008"/>
  <c r="C2008" s="1"/>
  <c r="B2008" s="1"/>
  <c r="D2009"/>
  <c r="C2009" s="1"/>
  <c r="B2009" s="1"/>
  <c r="D2010"/>
  <c r="C2010" s="1"/>
  <c r="B2010" s="1"/>
  <c r="D2011"/>
  <c r="C2011" s="1"/>
  <c r="B2011" s="1"/>
  <c r="D2012"/>
  <c r="C2012" s="1"/>
  <c r="B2012" s="1"/>
  <c r="D2013"/>
  <c r="C2013" s="1"/>
  <c r="B2013" s="1"/>
  <c r="D2014"/>
  <c r="C2014" s="1"/>
  <c r="B2014" s="1"/>
  <c r="D2015"/>
  <c r="C2015" s="1"/>
  <c r="B2015" s="1"/>
  <c r="D2016"/>
  <c r="C2016" s="1"/>
  <c r="B2016" s="1"/>
  <c r="D2017"/>
  <c r="C2017" s="1"/>
  <c r="B2017" s="1"/>
  <c r="D2018"/>
  <c r="C2018" s="1"/>
  <c r="B2018" s="1"/>
  <c r="D2019"/>
  <c r="C2019" s="1"/>
  <c r="B2019" s="1"/>
  <c r="D2020"/>
  <c r="C2020" s="1"/>
  <c r="B2020" s="1"/>
  <c r="D2021"/>
  <c r="C2021" s="1"/>
  <c r="B2021" s="1"/>
  <c r="D2022"/>
  <c r="C2022" s="1"/>
  <c r="B2022" s="1"/>
  <c r="D2023"/>
  <c r="C2023" s="1"/>
  <c r="B2023" s="1"/>
  <c r="D2024"/>
  <c r="C2024" s="1"/>
  <c r="B2024" s="1"/>
  <c r="D2025"/>
  <c r="C2025" s="1"/>
  <c r="B2025" s="1"/>
  <c r="D2026"/>
  <c r="C2026" s="1"/>
  <c r="B2026" s="1"/>
  <c r="D2027"/>
  <c r="C2027" s="1"/>
  <c r="B2027" s="1"/>
  <c r="D2028"/>
  <c r="C2028" s="1"/>
  <c r="B2028" s="1"/>
  <c r="D2029"/>
  <c r="C2029" s="1"/>
  <c r="B2029" s="1"/>
  <c r="D2030"/>
  <c r="C2030" s="1"/>
  <c r="B2030" s="1"/>
  <c r="D2031"/>
  <c r="C2031" s="1"/>
  <c r="B2031" s="1"/>
  <c r="D2032"/>
  <c r="C2032" s="1"/>
  <c r="B2032" s="1"/>
  <c r="D2033"/>
  <c r="C2033" s="1"/>
  <c r="B2033" s="1"/>
  <c r="D2034"/>
  <c r="C2034" s="1"/>
  <c r="B2034" s="1"/>
  <c r="D2035"/>
  <c r="C2035" s="1"/>
  <c r="B2035" s="1"/>
  <c r="D2036"/>
  <c r="C2036" s="1"/>
  <c r="B2036" s="1"/>
  <c r="D2037"/>
  <c r="C2037" s="1"/>
  <c r="B2037" s="1"/>
  <c r="D2038"/>
  <c r="C2038" s="1"/>
  <c r="B2038" s="1"/>
  <c r="D2039"/>
  <c r="C2039" s="1"/>
  <c r="B2039" s="1"/>
  <c r="D2040"/>
  <c r="C2040" s="1"/>
  <c r="B2040" s="1"/>
  <c r="D2041"/>
  <c r="C2041" s="1"/>
  <c r="B2041" s="1"/>
  <c r="D2042"/>
  <c r="C2042" s="1"/>
  <c r="B2042" s="1"/>
  <c r="D2043"/>
  <c r="C2043" s="1"/>
  <c r="B2043" s="1"/>
  <c r="D2044"/>
  <c r="C2044" s="1"/>
  <c r="B2044" s="1"/>
  <c r="D2045"/>
  <c r="C2045" s="1"/>
  <c r="B2045" s="1"/>
  <c r="D2046"/>
  <c r="C2046" s="1"/>
  <c r="B2046" s="1"/>
  <c r="D2047"/>
  <c r="C2047" s="1"/>
  <c r="B2047" s="1"/>
  <c r="D2048"/>
  <c r="C2048" s="1"/>
  <c r="B2048" s="1"/>
  <c r="D2049"/>
  <c r="C2049" s="1"/>
  <c r="B2049" s="1"/>
  <c r="D2050"/>
  <c r="C2050" s="1"/>
  <c r="B2050" s="1"/>
  <c r="D2051"/>
  <c r="C2051" s="1"/>
  <c r="B2051" s="1"/>
  <c r="D2052"/>
  <c r="C2052" s="1"/>
  <c r="B2052" s="1"/>
  <c r="D2053"/>
  <c r="C2053" s="1"/>
  <c r="B2053" s="1"/>
  <c r="D2054"/>
  <c r="C2054" s="1"/>
  <c r="B2054" s="1"/>
  <c r="D2055"/>
  <c r="C2055" s="1"/>
  <c r="B2055" s="1"/>
  <c r="D2056"/>
  <c r="C2056" s="1"/>
  <c r="B2056" s="1"/>
  <c r="D2057"/>
  <c r="C2057" s="1"/>
  <c r="B2057" s="1"/>
  <c r="D2058"/>
  <c r="C2058" s="1"/>
  <c r="B2058" s="1"/>
  <c r="D2059"/>
  <c r="C2059" s="1"/>
  <c r="B2059" s="1"/>
  <c r="D2060"/>
  <c r="C2060" s="1"/>
  <c r="B2060" s="1"/>
  <c r="D2061"/>
  <c r="C2061" s="1"/>
  <c r="B2061" s="1"/>
  <c r="D2062"/>
  <c r="C2062" s="1"/>
  <c r="B2062" s="1"/>
  <c r="D2063"/>
  <c r="C2063" s="1"/>
  <c r="B2063" s="1"/>
  <c r="D2064"/>
  <c r="C2064" s="1"/>
  <c r="B2064" s="1"/>
  <c r="D2065"/>
  <c r="C2065" s="1"/>
  <c r="B2065" s="1"/>
  <c r="D2066"/>
  <c r="C2066" s="1"/>
  <c r="B2066" s="1"/>
  <c r="D2067"/>
  <c r="C2067" s="1"/>
  <c r="B2067" s="1"/>
  <c r="D2068"/>
  <c r="C2068" s="1"/>
  <c r="B2068" s="1"/>
  <c r="D2069"/>
  <c r="C2069" s="1"/>
  <c r="B2069" s="1"/>
  <c r="D2070"/>
  <c r="C2070" s="1"/>
  <c r="B2070" s="1"/>
  <c r="D2071"/>
  <c r="C2071" s="1"/>
  <c r="B2071" s="1"/>
  <c r="D2072"/>
  <c r="C2072" s="1"/>
  <c r="B2072" s="1"/>
  <c r="D2073"/>
  <c r="C2073" s="1"/>
  <c r="B2073" s="1"/>
  <c r="D2074"/>
  <c r="C2074" s="1"/>
  <c r="B2074" s="1"/>
  <c r="D2075"/>
  <c r="C2075" s="1"/>
  <c r="B2075" s="1"/>
  <c r="D2076"/>
  <c r="C2076" s="1"/>
  <c r="B2076" s="1"/>
  <c r="D2077"/>
  <c r="C2077" s="1"/>
  <c r="B2077" s="1"/>
  <c r="D2078"/>
  <c r="C2078" s="1"/>
  <c r="B2078" s="1"/>
  <c r="D2079"/>
  <c r="C2079" s="1"/>
  <c r="B2079" s="1"/>
  <c r="D2080"/>
  <c r="C2080" s="1"/>
  <c r="B2080" s="1"/>
  <c r="D2081"/>
  <c r="C2081" s="1"/>
  <c r="B2081" s="1"/>
  <c r="D2082"/>
  <c r="C2082" s="1"/>
  <c r="B2082" s="1"/>
  <c r="D2083"/>
  <c r="C2083" s="1"/>
  <c r="B2083" s="1"/>
  <c r="D2084"/>
  <c r="C2084" s="1"/>
  <c r="B2084" s="1"/>
  <c r="D2085"/>
  <c r="C2085" s="1"/>
  <c r="B2085" s="1"/>
  <c r="D2086"/>
  <c r="C2086" s="1"/>
  <c r="B2086" s="1"/>
  <c r="D2087"/>
  <c r="C2087" s="1"/>
  <c r="B2087" s="1"/>
  <c r="D2088"/>
  <c r="C2088" s="1"/>
  <c r="B2088" s="1"/>
  <c r="D2089"/>
  <c r="C2089" s="1"/>
  <c r="B2089" s="1"/>
  <c r="D2090"/>
  <c r="C2090" s="1"/>
  <c r="B2090" s="1"/>
  <c r="D2091"/>
  <c r="C2091" s="1"/>
  <c r="B2091" s="1"/>
  <c r="D3"/>
  <c r="C3" s="1"/>
  <c r="B3" s="1"/>
  <c r="AB38" i="21"/>
  <c r="L1" i="31"/>
  <c r="M1"/>
  <c r="N1"/>
  <c r="O1"/>
  <c r="P1"/>
  <c r="Q1"/>
  <c r="R1"/>
  <c r="S1"/>
  <c r="T1"/>
  <c r="U1"/>
  <c r="V1"/>
  <c r="K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3"/>
  <c r="A4" i="30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3"/>
  <c r="F63" i="29"/>
  <c r="V555" i="31"/>
  <c r="U555"/>
  <c r="T555"/>
  <c r="S555"/>
  <c r="R555"/>
  <c r="Q555"/>
  <c r="P555"/>
  <c r="O555"/>
  <c r="N555"/>
  <c r="M555"/>
  <c r="L555"/>
  <c r="K555"/>
  <c r="V554"/>
  <c r="U554"/>
  <c r="T554"/>
  <c r="S554"/>
  <c r="R554"/>
  <c r="Q554"/>
  <c r="P554"/>
  <c r="O554"/>
  <c r="N554"/>
  <c r="M554"/>
  <c r="L554"/>
  <c r="K554"/>
  <c r="V553"/>
  <c r="U553"/>
  <c r="T553"/>
  <c r="S553"/>
  <c r="R553"/>
  <c r="Q553"/>
  <c r="P553"/>
  <c r="O553"/>
  <c r="N553"/>
  <c r="M553"/>
  <c r="L553"/>
  <c r="K553"/>
  <c r="J553"/>
  <c r="I553"/>
  <c r="H553"/>
  <c r="G553"/>
  <c r="F553"/>
  <c r="E553"/>
  <c r="V552"/>
  <c r="U552"/>
  <c r="T552"/>
  <c r="S552"/>
  <c r="R552"/>
  <c r="Q552"/>
  <c r="P552"/>
  <c r="O552"/>
  <c r="N552"/>
  <c r="M552"/>
  <c r="L552"/>
  <c r="K552"/>
  <c r="F51" i="7" s="1"/>
  <c r="J552" i="31"/>
  <c r="V2403" i="30"/>
  <c r="U2403"/>
  <c r="T2403"/>
  <c r="S2403"/>
  <c r="R2403"/>
  <c r="Q2403"/>
  <c r="P2403"/>
  <c r="O2403"/>
  <c r="N2403"/>
  <c r="M2403"/>
  <c r="L2403"/>
  <c r="K2403"/>
  <c r="V2402"/>
  <c r="U2402"/>
  <c r="T2402"/>
  <c r="S2402"/>
  <c r="R2402"/>
  <c r="Q2402"/>
  <c r="P2402"/>
  <c r="O2402"/>
  <c r="N2402"/>
  <c r="M2402"/>
  <c r="L2402"/>
  <c r="K2402"/>
  <c r="V2401"/>
  <c r="U2401"/>
  <c r="T2401"/>
  <c r="S2401"/>
  <c r="R2401"/>
  <c r="Q2401"/>
  <c r="P2401"/>
  <c r="O2401"/>
  <c r="N2401"/>
  <c r="M2401"/>
  <c r="L2401"/>
  <c r="K2401"/>
  <c r="J2401"/>
  <c r="I2401"/>
  <c r="H2401"/>
  <c r="G2401"/>
  <c r="F2401"/>
  <c r="E2401"/>
  <c r="V2400"/>
  <c r="U2400"/>
  <c r="T2400"/>
  <c r="S2400"/>
  <c r="R2400"/>
  <c r="Q2400"/>
  <c r="P2400"/>
  <c r="O2400"/>
  <c r="N2400"/>
  <c r="M2400"/>
  <c r="L2400"/>
  <c r="K2400"/>
  <c r="J2400"/>
  <c r="Q8" i="4"/>
  <c r="AG75" i="21"/>
  <c r="AF75"/>
  <c r="AE74"/>
  <c r="AD74"/>
  <c r="AI74"/>
  <c r="AE73"/>
  <c r="AD73"/>
  <c r="AI73" s="1"/>
  <c r="AE72"/>
  <c r="AD72"/>
  <c r="AI72"/>
  <c r="AE71"/>
  <c r="AD71"/>
  <c r="AI71" s="1"/>
  <c r="AE70"/>
  <c r="AD70"/>
  <c r="AI70"/>
  <c r="AE68"/>
  <c r="AD68"/>
  <c r="AI68" s="1"/>
  <c r="AE67"/>
  <c r="AD67"/>
  <c r="AI67"/>
  <c r="AE66"/>
  <c r="AD66"/>
  <c r="AI66" s="1"/>
  <c r="AE65"/>
  <c r="AE64"/>
  <c r="AD64"/>
  <c r="AI64" s="1"/>
  <c r="AG54"/>
  <c r="AF54"/>
  <c r="AE54"/>
  <c r="AD54"/>
  <c r="AI53"/>
  <c r="AI52"/>
  <c r="AI51"/>
  <c r="AI50"/>
  <c r="AI49"/>
  <c r="AI48"/>
  <c r="AI47"/>
  <c r="AI46"/>
  <c r="AI45"/>
  <c r="AI54"/>
  <c r="AG42"/>
  <c r="AF42"/>
  <c r="AI41"/>
  <c r="AI40"/>
  <c r="AI39"/>
  <c r="AI38"/>
  <c r="AI37"/>
  <c r="AE36"/>
  <c r="AI35"/>
  <c r="AD34"/>
  <c r="AI33"/>
  <c r="AI32"/>
  <c r="AI31"/>
  <c r="AI30"/>
  <c r="AH29"/>
  <c r="AH65" s="1"/>
  <c r="AD29"/>
  <c r="AD65" s="1"/>
  <c r="AI28"/>
  <c r="AG24"/>
  <c r="AF24"/>
  <c r="AG21"/>
  <c r="AG22" s="1"/>
  <c r="AF21"/>
  <c r="AF22" s="1"/>
  <c r="AD21"/>
  <c r="AE20"/>
  <c r="AI19"/>
  <c r="AI18"/>
  <c r="AI17"/>
  <c r="AI16"/>
  <c r="AG14"/>
  <c r="AF14"/>
  <c r="AD14"/>
  <c r="AI13"/>
  <c r="AE11"/>
  <c r="AG7"/>
  <c r="AF7"/>
  <c r="AD7"/>
  <c r="AI6"/>
  <c r="AE5"/>
  <c r="AI5" s="1"/>
  <c r="AE7"/>
  <c r="AI4"/>
  <c r="AI7"/>
  <c r="BR37"/>
  <c r="BK37"/>
  <c r="BK36"/>
  <c r="BD37"/>
  <c r="AW37"/>
  <c r="AP37"/>
  <c r="AP36"/>
  <c r="AB37"/>
  <c r="H27" i="4"/>
  <c r="H77"/>
  <c r="H59"/>
  <c r="H76"/>
  <c r="H39"/>
  <c r="A91" i="6"/>
  <c r="A90"/>
  <c r="A89"/>
  <c r="A88"/>
  <c r="A87"/>
  <c r="A86"/>
  <c r="A98"/>
  <c r="L18" i="28"/>
  <c r="J18"/>
  <c r="I18"/>
  <c r="H18"/>
  <c r="G18"/>
  <c r="E18"/>
  <c r="D18"/>
  <c r="C18"/>
  <c r="B18"/>
  <c r="J12"/>
  <c r="E12"/>
  <c r="L10"/>
  <c r="L9"/>
  <c r="BE36" i="20"/>
  <c r="BH28"/>
  <c r="BH21"/>
  <c r="BF19"/>
  <c r="BF26"/>
  <c r="BF31" s="1"/>
  <c r="BG17"/>
  <c r="BH17" s="1"/>
  <c r="BH16"/>
  <c r="BH15"/>
  <c r="BH14"/>
  <c r="BG13"/>
  <c r="BG19"/>
  <c r="BG26" s="1"/>
  <c r="BG31" s="1"/>
  <c r="BD13"/>
  <c r="BD19"/>
  <c r="BD26" s="1"/>
  <c r="BD31"/>
  <c r="BC13"/>
  <c r="BH13"/>
  <c r="BH11"/>
  <c r="BH10"/>
  <c r="BH9"/>
  <c r="BH8"/>
  <c r="BL36"/>
  <c r="BO28"/>
  <c r="BO21"/>
  <c r="BM19"/>
  <c r="BM26"/>
  <c r="BM31" s="1"/>
  <c r="BN17"/>
  <c r="BO16"/>
  <c r="BO15"/>
  <c r="BO14"/>
  <c r="BN13"/>
  <c r="BK13"/>
  <c r="BO13"/>
  <c r="BJ13"/>
  <c r="BJ19"/>
  <c r="BJ26" s="1"/>
  <c r="BJ31" s="1"/>
  <c r="BO11"/>
  <c r="BO10"/>
  <c r="BO9"/>
  <c r="BO8"/>
  <c r="H72" i="4"/>
  <c r="BK19" i="20"/>
  <c r="BK26" s="1"/>
  <c r="BK31" s="1"/>
  <c r="AN75" i="21"/>
  <c r="AM75"/>
  <c r="AL74"/>
  <c r="AK74"/>
  <c r="AP74" s="1"/>
  <c r="AL73"/>
  <c r="AK73"/>
  <c r="AP73"/>
  <c r="AL72"/>
  <c r="AK72"/>
  <c r="AP72" s="1"/>
  <c r="AL70"/>
  <c r="AK70"/>
  <c r="AP70"/>
  <c r="AL69"/>
  <c r="AK69"/>
  <c r="AP69" s="1"/>
  <c r="AL68"/>
  <c r="AK68"/>
  <c r="AP68"/>
  <c r="AL67"/>
  <c r="AK67"/>
  <c r="AP67" s="1"/>
  <c r="AL66"/>
  <c r="AL65"/>
  <c r="AL64"/>
  <c r="AK64"/>
  <c r="AN54"/>
  <c r="AM54"/>
  <c r="AL54"/>
  <c r="AK54"/>
  <c r="AP53"/>
  <c r="AP52"/>
  <c r="AP51"/>
  <c r="AP50"/>
  <c r="AP49"/>
  <c r="AP48"/>
  <c r="AP47"/>
  <c r="AP46"/>
  <c r="AP45"/>
  <c r="AN42"/>
  <c r="AM42"/>
  <c r="AP41"/>
  <c r="AP40"/>
  <c r="AP39"/>
  <c r="AL38"/>
  <c r="AL71" s="1"/>
  <c r="AL75"/>
  <c r="AK38"/>
  <c r="AK71"/>
  <c r="AP71" s="1"/>
  <c r="AP35"/>
  <c r="AP34"/>
  <c r="AP33"/>
  <c r="AP32"/>
  <c r="AK31"/>
  <c r="AK66" s="1"/>
  <c r="AP30"/>
  <c r="AO29"/>
  <c r="AO65"/>
  <c r="AK29"/>
  <c r="AP28"/>
  <c r="AN24"/>
  <c r="AM24"/>
  <c r="AL24"/>
  <c r="AK24"/>
  <c r="AP24" s="1"/>
  <c r="AN21"/>
  <c r="AN22" s="1"/>
  <c r="AM21"/>
  <c r="AM22" s="1"/>
  <c r="AL21"/>
  <c r="AL22" s="1"/>
  <c r="AK21"/>
  <c r="AO20"/>
  <c r="AP20"/>
  <c r="AP19"/>
  <c r="AP18"/>
  <c r="AP17"/>
  <c r="AP16"/>
  <c r="AN14"/>
  <c r="AM14"/>
  <c r="AL14"/>
  <c r="AK14"/>
  <c r="AP13"/>
  <c r="AP11"/>
  <c r="AN7"/>
  <c r="AM7"/>
  <c r="AL7"/>
  <c r="AK7"/>
  <c r="AP6"/>
  <c r="AP5"/>
  <c r="AP4"/>
  <c r="O59" i="14"/>
  <c r="N59"/>
  <c r="M59"/>
  <c r="L59"/>
  <c r="O58"/>
  <c r="N58"/>
  <c r="M58"/>
  <c r="L58"/>
  <c r="O39"/>
  <c r="O53" s="1"/>
  <c r="N39"/>
  <c r="N53" s="1"/>
  <c r="M39"/>
  <c r="M53" s="1"/>
  <c r="L39"/>
  <c r="L53" s="1"/>
  <c r="O38"/>
  <c r="O52" s="1"/>
  <c r="N38"/>
  <c r="N52" s="1"/>
  <c r="M38"/>
  <c r="M52" s="1"/>
  <c r="L38"/>
  <c r="L52" s="1"/>
  <c r="O37"/>
  <c r="O51" s="1"/>
  <c r="N37"/>
  <c r="N51" s="1"/>
  <c r="M37"/>
  <c r="M51" s="1"/>
  <c r="L37"/>
  <c r="L51" s="1"/>
  <c r="O36"/>
  <c r="O50" s="1"/>
  <c r="O54" s="1"/>
  <c r="N36"/>
  <c r="N50"/>
  <c r="N54" s="1"/>
  <c r="M36"/>
  <c r="M50" s="1"/>
  <c r="M54" s="1"/>
  <c r="M56" s="1"/>
  <c r="L36"/>
  <c r="L50"/>
  <c r="L54" s="1"/>
  <c r="L66"/>
  <c r="O35"/>
  <c r="O47"/>
  <c r="N35"/>
  <c r="N47"/>
  <c r="M35"/>
  <c r="M47"/>
  <c r="L35"/>
  <c r="L47"/>
  <c r="O34"/>
  <c r="O46"/>
  <c r="O48" s="1"/>
  <c r="N34"/>
  <c r="N46" s="1"/>
  <c r="N48"/>
  <c r="M34"/>
  <c r="M46"/>
  <c r="M48" s="1"/>
  <c r="L34"/>
  <c r="L46" s="1"/>
  <c r="L48"/>
  <c r="O31"/>
  <c r="N31"/>
  <c r="M31"/>
  <c r="L31"/>
  <c r="O12"/>
  <c r="N12"/>
  <c r="M12"/>
  <c r="L12"/>
  <c r="E102" i="17"/>
  <c r="G102"/>
  <c r="E101"/>
  <c r="F101" s="1"/>
  <c r="BS36" i="20"/>
  <c r="BV28"/>
  <c r="BV21"/>
  <c r="BT19"/>
  <c r="BT26" s="1"/>
  <c r="BT31"/>
  <c r="BU17"/>
  <c r="BV17"/>
  <c r="BV16"/>
  <c r="BV15"/>
  <c r="BV14"/>
  <c r="BU13"/>
  <c r="BU19" s="1"/>
  <c r="BU26" s="1"/>
  <c r="BU31" s="1"/>
  <c r="BR13"/>
  <c r="BQ13"/>
  <c r="BV11"/>
  <c r="BV10"/>
  <c r="BV9"/>
  <c r="BV8"/>
  <c r="AU75" i="21"/>
  <c r="AT75"/>
  <c r="AS74"/>
  <c r="AR74"/>
  <c r="AW74"/>
  <c r="AS73"/>
  <c r="AR73"/>
  <c r="AW73" s="1"/>
  <c r="AS72"/>
  <c r="AR72"/>
  <c r="AW72"/>
  <c r="AS70"/>
  <c r="AR70"/>
  <c r="AW70" s="1"/>
  <c r="AS68"/>
  <c r="AR68"/>
  <c r="AW68"/>
  <c r="AS67"/>
  <c r="AR67"/>
  <c r="AW67" s="1"/>
  <c r="AS66"/>
  <c r="AS65"/>
  <c r="AS64"/>
  <c r="AR64"/>
  <c r="AU54"/>
  <c r="AT54"/>
  <c r="AS54"/>
  <c r="AR54"/>
  <c r="AW53"/>
  <c r="AW52"/>
  <c r="AW51"/>
  <c r="AW50"/>
  <c r="AW49"/>
  <c r="AW48"/>
  <c r="AW47"/>
  <c r="AW46"/>
  <c r="AW45"/>
  <c r="AU42"/>
  <c r="AT42"/>
  <c r="AW41"/>
  <c r="AW40"/>
  <c r="AW39"/>
  <c r="AS38"/>
  <c r="AS71" s="1"/>
  <c r="AR38"/>
  <c r="AR71" s="1"/>
  <c r="AW71" s="1"/>
  <c r="AS36"/>
  <c r="AW36"/>
  <c r="AW35"/>
  <c r="AS34"/>
  <c r="AR34"/>
  <c r="AR69"/>
  <c r="AW33"/>
  <c r="AW32"/>
  <c r="AR31"/>
  <c r="AW31"/>
  <c r="AW30"/>
  <c r="AV29"/>
  <c r="AV65" s="1"/>
  <c r="AR29"/>
  <c r="AW28"/>
  <c r="AU24"/>
  <c r="AT24"/>
  <c r="AR24"/>
  <c r="AU21"/>
  <c r="AU22"/>
  <c r="AT21"/>
  <c r="AT22"/>
  <c r="AS21"/>
  <c r="AS22"/>
  <c r="AR21"/>
  <c r="AV20"/>
  <c r="AW20" s="1"/>
  <c r="AW19"/>
  <c r="AW18"/>
  <c r="AW17"/>
  <c r="AW16"/>
  <c r="AW21"/>
  <c r="AU14"/>
  <c r="AT14"/>
  <c r="AS14"/>
  <c r="AR14"/>
  <c r="AW13"/>
  <c r="AW11"/>
  <c r="AW14"/>
  <c r="AU7"/>
  <c r="AT7"/>
  <c r="AS7"/>
  <c r="AR7"/>
  <c r="AW6"/>
  <c r="AW5"/>
  <c r="AW4"/>
  <c r="AW7"/>
  <c r="E99" i="17"/>
  <c r="G99"/>
  <c r="E98"/>
  <c r="F98"/>
  <c r="BZ36" i="20"/>
  <c r="CC28"/>
  <c r="CC21"/>
  <c r="CA19"/>
  <c r="CA26" s="1"/>
  <c r="CA31"/>
  <c r="CC17"/>
  <c r="CC16"/>
  <c r="CC15"/>
  <c r="CC14"/>
  <c r="CB13"/>
  <c r="CB19"/>
  <c r="CB26" s="1"/>
  <c r="CB31" s="1"/>
  <c r="BY13"/>
  <c r="BY19"/>
  <c r="BY26" s="1"/>
  <c r="BY31"/>
  <c r="BX13"/>
  <c r="BX19"/>
  <c r="BX26" s="1"/>
  <c r="BX31" s="1"/>
  <c r="CC11"/>
  <c r="CC10"/>
  <c r="CC9"/>
  <c r="CC8"/>
  <c r="BB75" i="21"/>
  <c r="BA75"/>
  <c r="AZ74"/>
  <c r="AY74"/>
  <c r="BD74" s="1"/>
  <c r="AZ73"/>
  <c r="AY73"/>
  <c r="BD73"/>
  <c r="AZ72"/>
  <c r="AY72"/>
  <c r="BD72" s="1"/>
  <c r="AZ70"/>
  <c r="AY70"/>
  <c r="BD70"/>
  <c r="AZ68"/>
  <c r="AY68"/>
  <c r="BD68" s="1"/>
  <c r="AZ67"/>
  <c r="AY67"/>
  <c r="BD67"/>
  <c r="AZ66"/>
  <c r="AZ65"/>
  <c r="AZ64"/>
  <c r="AY64"/>
  <c r="BD64" s="1"/>
  <c r="BB54"/>
  <c r="BA54"/>
  <c r="AZ54"/>
  <c r="AY54"/>
  <c r="BD53"/>
  <c r="BD52"/>
  <c r="BD51"/>
  <c r="BD50"/>
  <c r="BD49"/>
  <c r="BD48"/>
  <c r="BD47"/>
  <c r="BD46"/>
  <c r="BD45"/>
  <c r="BD54"/>
  <c r="BB42"/>
  <c r="BA42"/>
  <c r="BD41"/>
  <c r="BD40"/>
  <c r="BD39"/>
  <c r="AZ38"/>
  <c r="AZ71" s="1"/>
  <c r="AY38"/>
  <c r="AZ36"/>
  <c r="BD36"/>
  <c r="BD35"/>
  <c r="AZ34"/>
  <c r="AY34"/>
  <c r="AY69"/>
  <c r="BD33"/>
  <c r="BD32"/>
  <c r="AY31"/>
  <c r="BD31"/>
  <c r="BD30"/>
  <c r="BC29"/>
  <c r="BC65"/>
  <c r="AY29"/>
  <c r="AY42"/>
  <c r="BD28"/>
  <c r="BB24"/>
  <c r="BA24"/>
  <c r="AY24"/>
  <c r="BB21"/>
  <c r="BB22"/>
  <c r="BA21"/>
  <c r="BA22"/>
  <c r="AZ21"/>
  <c r="AY21"/>
  <c r="BC20"/>
  <c r="BD20" s="1"/>
  <c r="BD19"/>
  <c r="BD18"/>
  <c r="BD17"/>
  <c r="BD16"/>
  <c r="BD21" s="1"/>
  <c r="BD22" s="1"/>
  <c r="BB14"/>
  <c r="BA14"/>
  <c r="AZ14"/>
  <c r="AY14"/>
  <c r="BD13"/>
  <c r="BD11"/>
  <c r="BD14" s="1"/>
  <c r="BB7"/>
  <c r="BA7"/>
  <c r="AZ7"/>
  <c r="AY7"/>
  <c r="BD6"/>
  <c r="BD5"/>
  <c r="BD4"/>
  <c r="BD7"/>
  <c r="BD29"/>
  <c r="AZ42"/>
  <c r="AZ56" s="1"/>
  <c r="AY65"/>
  <c r="AZ22"/>
  <c r="E22" i="6"/>
  <c r="E96" i="17"/>
  <c r="G96"/>
  <c r="E95"/>
  <c r="F95"/>
  <c r="E22" i="8"/>
  <c r="E32"/>
  <c r="BF64" i="21"/>
  <c r="BG64"/>
  <c r="BK64" s="1"/>
  <c r="BF65"/>
  <c r="BG65"/>
  <c r="BJ65"/>
  <c r="BF66"/>
  <c r="BG66"/>
  <c r="BK66"/>
  <c r="BF67"/>
  <c r="BG67"/>
  <c r="BK67" s="1"/>
  <c r="BF68"/>
  <c r="BG68"/>
  <c r="BK68"/>
  <c r="BF34"/>
  <c r="BF69"/>
  <c r="BG34"/>
  <c r="BG69"/>
  <c r="BF70"/>
  <c r="BG70"/>
  <c r="BK70" s="1"/>
  <c r="BF38"/>
  <c r="BG38"/>
  <c r="BF72"/>
  <c r="BG72"/>
  <c r="BK72" s="1"/>
  <c r="BF73"/>
  <c r="BG73"/>
  <c r="BK73"/>
  <c r="BF74"/>
  <c r="BG74"/>
  <c r="BK74" s="1"/>
  <c r="BJ75"/>
  <c r="BI75"/>
  <c r="BH75"/>
  <c r="BG21"/>
  <c r="BG54"/>
  <c r="BF21"/>
  <c r="BF54"/>
  <c r="BK45"/>
  <c r="BK46"/>
  <c r="BK47"/>
  <c r="BK48"/>
  <c r="BK49"/>
  <c r="BK50"/>
  <c r="BK51"/>
  <c r="BK52"/>
  <c r="BK53"/>
  <c r="BK54"/>
  <c r="BI54"/>
  <c r="BH54"/>
  <c r="BK28"/>
  <c r="BK29"/>
  <c r="BK30"/>
  <c r="BK31"/>
  <c r="BK32"/>
  <c r="BK33"/>
  <c r="BK34"/>
  <c r="BK35"/>
  <c r="BK39"/>
  <c r="BK40"/>
  <c r="BK41"/>
  <c r="BI42"/>
  <c r="BH42"/>
  <c r="BF24"/>
  <c r="BG24"/>
  <c r="BH24"/>
  <c r="BI24"/>
  <c r="BK24"/>
  <c r="BK11"/>
  <c r="BK13"/>
  <c r="BK14" s="1"/>
  <c r="BK16"/>
  <c r="BK17"/>
  <c r="BK18"/>
  <c r="BK19"/>
  <c r="BJ20"/>
  <c r="BK20" s="1"/>
  <c r="BI21"/>
  <c r="BI22"/>
  <c r="BH21"/>
  <c r="BH22"/>
  <c r="BG22"/>
  <c r="BF22"/>
  <c r="BI14"/>
  <c r="BH14"/>
  <c r="BG14"/>
  <c r="BF14"/>
  <c r="BK4"/>
  <c r="BK5"/>
  <c r="BK6"/>
  <c r="BK7"/>
  <c r="BI7"/>
  <c r="BH7"/>
  <c r="BG7"/>
  <c r="BF7"/>
  <c r="E93" i="17"/>
  <c r="G93"/>
  <c r="E92"/>
  <c r="F92"/>
  <c r="G77" i="4"/>
  <c r="F27"/>
  <c r="E27"/>
  <c r="D27"/>
  <c r="C27"/>
  <c r="B27"/>
  <c r="A27"/>
  <c r="G27"/>
  <c r="F77"/>
  <c r="F59"/>
  <c r="F7"/>
  <c r="F39"/>
  <c r="A44" i="6"/>
  <c r="D88"/>
  <c r="D87"/>
  <c r="D86"/>
  <c r="A81"/>
  <c r="E44"/>
  <c r="A32" i="8"/>
  <c r="CJ10" i="20"/>
  <c r="CJ11"/>
  <c r="CE13"/>
  <c r="CE19" s="1"/>
  <c r="CF13"/>
  <c r="CI13"/>
  <c r="CJ14"/>
  <c r="CJ15"/>
  <c r="CJ16"/>
  <c r="CI17"/>
  <c r="CJ17" s="1"/>
  <c r="CJ21"/>
  <c r="CJ28"/>
  <c r="CF19"/>
  <c r="CF26" s="1"/>
  <c r="CF31" s="1"/>
  <c r="CH19"/>
  <c r="CH26"/>
  <c r="CH31" s="1"/>
  <c r="CE26"/>
  <c r="CE31" s="1"/>
  <c r="CG36"/>
  <c r="CJ9"/>
  <c r="CJ8"/>
  <c r="CQ10"/>
  <c r="CQ11"/>
  <c r="CL13"/>
  <c r="CM13"/>
  <c r="CP13"/>
  <c r="CQ14"/>
  <c r="CQ15"/>
  <c r="CQ16"/>
  <c r="CP17"/>
  <c r="CQ17"/>
  <c r="CQ21"/>
  <c r="CQ28"/>
  <c r="CO19"/>
  <c r="CO26"/>
  <c r="CO31" s="1"/>
  <c r="CL19"/>
  <c r="CL26" s="1"/>
  <c r="CL31"/>
  <c r="CO33" s="1"/>
  <c r="CN36"/>
  <c r="CQ9"/>
  <c r="CQ8"/>
  <c r="CX10"/>
  <c r="CX11"/>
  <c r="CS13"/>
  <c r="CS19" s="1"/>
  <c r="CS26" s="1"/>
  <c r="CS31" s="1"/>
  <c r="CV33" s="1"/>
  <c r="CT13"/>
  <c r="CW13"/>
  <c r="CX14"/>
  <c r="CX15"/>
  <c r="CX16"/>
  <c r="CW17"/>
  <c r="CX17" s="1"/>
  <c r="CX21"/>
  <c r="CX28"/>
  <c r="CT19"/>
  <c r="CT26" s="1"/>
  <c r="CT31"/>
  <c r="CV19"/>
  <c r="CV26"/>
  <c r="CV31" s="1"/>
  <c r="CV36" s="1"/>
  <c r="CU36"/>
  <c r="CX9"/>
  <c r="CX8"/>
  <c r="T36" i="14"/>
  <c r="T50" s="1"/>
  <c r="T37"/>
  <c r="T51" s="1"/>
  <c r="T38"/>
  <c r="T52" s="1"/>
  <c r="T39"/>
  <c r="T53" s="1"/>
  <c r="T54"/>
  <c r="T58"/>
  <c r="S36"/>
  <c r="S50" s="1"/>
  <c r="S37"/>
  <c r="S51" s="1"/>
  <c r="S38"/>
  <c r="S52" s="1"/>
  <c r="S30"/>
  <c r="S39" s="1"/>
  <c r="S58"/>
  <c r="R36"/>
  <c r="R50"/>
  <c r="R9"/>
  <c r="R37"/>
  <c r="R51" s="1"/>
  <c r="R38"/>
  <c r="R52" s="1"/>
  <c r="R30"/>
  <c r="R58"/>
  <c r="Q36"/>
  <c r="Q50"/>
  <c r="Q37"/>
  <c r="Q51"/>
  <c r="Q38"/>
  <c r="Q52"/>
  <c r="Q39"/>
  <c r="Q53"/>
  <c r="Q58"/>
  <c r="T34"/>
  <c r="T46" s="1"/>
  <c r="T35"/>
  <c r="T59"/>
  <c r="S34"/>
  <c r="S46" s="1"/>
  <c r="S35"/>
  <c r="S47" s="1"/>
  <c r="S48" s="1"/>
  <c r="S59"/>
  <c r="R34"/>
  <c r="R46" s="1"/>
  <c r="R48" s="1"/>
  <c r="R35"/>
  <c r="R47"/>
  <c r="R59"/>
  <c r="Q34"/>
  <c r="Q35"/>
  <c r="Q47" s="1"/>
  <c r="Q59"/>
  <c r="T31"/>
  <c r="S31"/>
  <c r="Q31"/>
  <c r="T12"/>
  <c r="S12"/>
  <c r="R12"/>
  <c r="Q12"/>
  <c r="AR9" i="26"/>
  <c r="AR7"/>
  <c r="BR36" i="21"/>
  <c r="BM64"/>
  <c r="BN64"/>
  <c r="BR64"/>
  <c r="BM65"/>
  <c r="BN65"/>
  <c r="BQ65"/>
  <c r="BR65"/>
  <c r="BM66"/>
  <c r="BN66"/>
  <c r="BR66" s="1"/>
  <c r="BM67"/>
  <c r="BN67"/>
  <c r="BR67"/>
  <c r="BM68"/>
  <c r="BN68"/>
  <c r="BR68" s="1"/>
  <c r="BM69"/>
  <c r="BN69"/>
  <c r="BR69"/>
  <c r="BM70"/>
  <c r="BN70"/>
  <c r="BR70" s="1"/>
  <c r="BM38"/>
  <c r="BN71"/>
  <c r="BM72"/>
  <c r="BN72"/>
  <c r="BR72" s="1"/>
  <c r="BM73"/>
  <c r="BN73"/>
  <c r="BR73"/>
  <c r="BM74"/>
  <c r="BN74"/>
  <c r="BR74" s="1"/>
  <c r="BQ75"/>
  <c r="BP75"/>
  <c r="BO75"/>
  <c r="BN21"/>
  <c r="BN54"/>
  <c r="BN42"/>
  <c r="BM21"/>
  <c r="BM54"/>
  <c r="BR45"/>
  <c r="BR46"/>
  <c r="BR47"/>
  <c r="BR48"/>
  <c r="BR49"/>
  <c r="BR50"/>
  <c r="BR54" s="1"/>
  <c r="BR51"/>
  <c r="BR52"/>
  <c r="BR53"/>
  <c r="BP54"/>
  <c r="BO54"/>
  <c r="BR28"/>
  <c r="BR29"/>
  <c r="BR30"/>
  <c r="BR31"/>
  <c r="BR32"/>
  <c r="BR33"/>
  <c r="BR34"/>
  <c r="BR35"/>
  <c r="BR38"/>
  <c r="BR39"/>
  <c r="BR40"/>
  <c r="BR41"/>
  <c r="BR42"/>
  <c r="BP42"/>
  <c r="BO42"/>
  <c r="BM24"/>
  <c r="BN24"/>
  <c r="BO24"/>
  <c r="BR24"/>
  <c r="BP24"/>
  <c r="BR11"/>
  <c r="BR13"/>
  <c r="BR14"/>
  <c r="BR16"/>
  <c r="BR17"/>
  <c r="BR18"/>
  <c r="BR19"/>
  <c r="BR20"/>
  <c r="BR21"/>
  <c r="BP21"/>
  <c r="BP22" s="1"/>
  <c r="BO21"/>
  <c r="BO22" s="1"/>
  <c r="BN22"/>
  <c r="BP14"/>
  <c r="BO14"/>
  <c r="BN14"/>
  <c r="BM14"/>
  <c r="BR4"/>
  <c r="BR7" s="1"/>
  <c r="BR5"/>
  <c r="BR6"/>
  <c r="BP7"/>
  <c r="BO7"/>
  <c r="BN7"/>
  <c r="BM7"/>
  <c r="E90" i="17"/>
  <c r="G90" s="1"/>
  <c r="G8"/>
  <c r="G12"/>
  <c r="E15"/>
  <c r="G15" s="1"/>
  <c r="E18"/>
  <c r="G18" s="1"/>
  <c r="E21"/>
  <c r="G21" s="1"/>
  <c r="E24"/>
  <c r="G24" s="1"/>
  <c r="E27"/>
  <c r="G27" s="1"/>
  <c r="E30"/>
  <c r="G30" s="1"/>
  <c r="E33"/>
  <c r="G33" s="1"/>
  <c r="E36"/>
  <c r="G36" s="1"/>
  <c r="E39"/>
  <c r="G39" s="1"/>
  <c r="E42"/>
  <c r="G42" s="1"/>
  <c r="E45"/>
  <c r="G45" s="1"/>
  <c r="E48"/>
  <c r="G48" s="1"/>
  <c r="E51"/>
  <c r="G51" s="1"/>
  <c r="E54"/>
  <c r="G54" s="1"/>
  <c r="E57"/>
  <c r="G57" s="1"/>
  <c r="E60"/>
  <c r="G60" s="1"/>
  <c r="E63"/>
  <c r="G63" s="1"/>
  <c r="E66"/>
  <c r="G66" s="1"/>
  <c r="E69"/>
  <c r="G69" s="1"/>
  <c r="E72"/>
  <c r="G72" s="1"/>
  <c r="E75"/>
  <c r="G75" s="1"/>
  <c r="E78"/>
  <c r="G78" s="1"/>
  <c r="E81"/>
  <c r="G81" s="1"/>
  <c r="E84"/>
  <c r="G84" s="1"/>
  <c r="E87"/>
  <c r="G87" s="1"/>
  <c r="E89"/>
  <c r="F89" s="1"/>
  <c r="E14"/>
  <c r="F14" s="1"/>
  <c r="F103" s="1"/>
  <c r="E17"/>
  <c r="F17" s="1"/>
  <c r="E20"/>
  <c r="F20" s="1"/>
  <c r="E23"/>
  <c r="F23" s="1"/>
  <c r="E26"/>
  <c r="F26" s="1"/>
  <c r="E29"/>
  <c r="F29" s="1"/>
  <c r="E32"/>
  <c r="F32" s="1"/>
  <c r="E35"/>
  <c r="F35" s="1"/>
  <c r="E38"/>
  <c r="F38" s="1"/>
  <c r="E41"/>
  <c r="F41" s="1"/>
  <c r="E44"/>
  <c r="F44" s="1"/>
  <c r="E47"/>
  <c r="F47" s="1"/>
  <c r="E50"/>
  <c r="F50" s="1"/>
  <c r="E53"/>
  <c r="F53" s="1"/>
  <c r="E56"/>
  <c r="F56" s="1"/>
  <c r="E59"/>
  <c r="F59" s="1"/>
  <c r="E62"/>
  <c r="F62" s="1"/>
  <c r="E65"/>
  <c r="F65" s="1"/>
  <c r="E68"/>
  <c r="F68" s="1"/>
  <c r="E71"/>
  <c r="F71" s="1"/>
  <c r="E74"/>
  <c r="F74" s="1"/>
  <c r="E77"/>
  <c r="F77" s="1"/>
  <c r="E80"/>
  <c r="F80" s="1"/>
  <c r="E83"/>
  <c r="F83" s="1"/>
  <c r="E86"/>
  <c r="F86" s="1"/>
  <c r="C13"/>
  <c r="C16" s="1"/>
  <c r="C19"/>
  <c r="C22" s="1"/>
  <c r="C25" s="1"/>
  <c r="C28" s="1"/>
  <c r="B9"/>
  <c r="B13" s="1"/>
  <c r="B16" s="1"/>
  <c r="B19" s="1"/>
  <c r="B22" s="1"/>
  <c r="B25" s="1"/>
  <c r="B28" s="1"/>
  <c r="B31" s="1"/>
  <c r="B34" s="1"/>
  <c r="B37" s="1"/>
  <c r="B40" s="1"/>
  <c r="B43" s="1"/>
  <c r="B46" s="1"/>
  <c r="B49" s="1"/>
  <c r="B52" s="1"/>
  <c r="B55" s="1"/>
  <c r="B58" s="1"/>
  <c r="B61" s="1"/>
  <c r="B64" s="1"/>
  <c r="B67" s="1"/>
  <c r="B70" s="1"/>
  <c r="B73" s="1"/>
  <c r="B76" s="1"/>
  <c r="B79" s="1"/>
  <c r="B82" s="1"/>
  <c r="B85" s="1"/>
  <c r="B88" s="1"/>
  <c r="B91" s="1"/>
  <c r="B94" s="1"/>
  <c r="B97" s="1"/>
  <c r="B100" s="1"/>
  <c r="B103" s="1"/>
  <c r="BT64" i="21"/>
  <c r="BU64"/>
  <c r="BY64"/>
  <c r="BT65"/>
  <c r="BU65"/>
  <c r="BX65"/>
  <c r="BY65"/>
  <c r="BT31"/>
  <c r="BT66"/>
  <c r="BU66"/>
  <c r="BT67"/>
  <c r="BU67"/>
  <c r="BY67"/>
  <c r="BT68"/>
  <c r="BU68"/>
  <c r="BY68" s="1"/>
  <c r="BT34"/>
  <c r="BU69"/>
  <c r="BT70"/>
  <c r="BU70"/>
  <c r="BY70" s="1"/>
  <c r="BT71"/>
  <c r="BU71"/>
  <c r="BY71"/>
  <c r="BT72"/>
  <c r="BU72"/>
  <c r="BY72" s="1"/>
  <c r="BT73"/>
  <c r="BU73"/>
  <c r="BY73"/>
  <c r="BT74"/>
  <c r="BU74"/>
  <c r="BY74" s="1"/>
  <c r="BX75"/>
  <c r="BW75"/>
  <c r="BV75"/>
  <c r="BU21"/>
  <c r="BU54"/>
  <c r="BU42"/>
  <c r="BU56" s="1"/>
  <c r="BT21"/>
  <c r="BT54"/>
  <c r="BY45"/>
  <c r="BY46"/>
  <c r="BY47"/>
  <c r="BY54" s="1"/>
  <c r="BY48"/>
  <c r="BY49"/>
  <c r="BY50"/>
  <c r="BY51"/>
  <c r="BY52"/>
  <c r="BY53"/>
  <c r="BW54"/>
  <c r="BV54"/>
  <c r="BY28"/>
  <c r="BY29"/>
  <c r="BY30"/>
  <c r="BY31"/>
  <c r="BY32"/>
  <c r="BY33"/>
  <c r="BY35"/>
  <c r="BY38"/>
  <c r="BY39"/>
  <c r="BY40"/>
  <c r="BY41"/>
  <c r="BW42"/>
  <c r="BV42"/>
  <c r="BU24"/>
  <c r="BV24"/>
  <c r="BW24"/>
  <c r="BY11"/>
  <c r="BY13"/>
  <c r="BY14" s="1"/>
  <c r="BY16"/>
  <c r="BY17"/>
  <c r="BY18"/>
  <c r="BY19"/>
  <c r="BY20"/>
  <c r="BW21"/>
  <c r="BW22"/>
  <c r="BV21"/>
  <c r="BV22"/>
  <c r="BU22"/>
  <c r="BT22"/>
  <c r="BW14"/>
  <c r="BV14"/>
  <c r="BU14"/>
  <c r="BT14"/>
  <c r="BY4"/>
  <c r="BY5"/>
  <c r="BY6"/>
  <c r="BY7"/>
  <c r="BW7"/>
  <c r="BV7"/>
  <c r="BU7"/>
  <c r="BT7"/>
  <c r="DE8" i="20"/>
  <c r="DE9"/>
  <c r="CZ10"/>
  <c r="DA10"/>
  <c r="DE11"/>
  <c r="CZ13"/>
  <c r="DA13"/>
  <c r="DD13"/>
  <c r="DD19"/>
  <c r="DD26" s="1"/>
  <c r="DD31"/>
  <c r="DE14"/>
  <c r="DE15"/>
  <c r="DE16"/>
  <c r="DA17"/>
  <c r="DD17"/>
  <c r="DE17"/>
  <c r="DC19"/>
  <c r="DE21"/>
  <c r="DC26"/>
  <c r="DC31" s="1"/>
  <c r="CZ28"/>
  <c r="DA28"/>
  <c r="DE28" s="1"/>
  <c r="DB36"/>
  <c r="G42" i="8"/>
  <c r="G41"/>
  <c r="G40"/>
  <c r="G39"/>
  <c r="G38"/>
  <c r="G36"/>
  <c r="G28"/>
  <c r="G27"/>
  <c r="G26"/>
  <c r="G25"/>
  <c r="G24"/>
  <c r="O50" i="4"/>
  <c r="CA64" i="21"/>
  <c r="CB64"/>
  <c r="CF64"/>
  <c r="CA65"/>
  <c r="CB65"/>
  <c r="CE65"/>
  <c r="CF65"/>
  <c r="CA31"/>
  <c r="CA66"/>
  <c r="CB66"/>
  <c r="CA67"/>
  <c r="CB67"/>
  <c r="CF67"/>
  <c r="CA68"/>
  <c r="CB68"/>
  <c r="CF68" s="1"/>
  <c r="CA34"/>
  <c r="CB69"/>
  <c r="CA70"/>
  <c r="CB70"/>
  <c r="CF70" s="1"/>
  <c r="CA71"/>
  <c r="CB71"/>
  <c r="CF71"/>
  <c r="CA72"/>
  <c r="CB72"/>
  <c r="CF72" s="1"/>
  <c r="CA73"/>
  <c r="CB73"/>
  <c r="CF73"/>
  <c r="CA74"/>
  <c r="CB74"/>
  <c r="CF74" s="1"/>
  <c r="CE75"/>
  <c r="CD75"/>
  <c r="CC75"/>
  <c r="CB21"/>
  <c r="CB54"/>
  <c r="CB42"/>
  <c r="CA21"/>
  <c r="CA54"/>
  <c r="CA42"/>
  <c r="CF45"/>
  <c r="CF46"/>
  <c r="CF47"/>
  <c r="CF48"/>
  <c r="CF49"/>
  <c r="CF50"/>
  <c r="CF51"/>
  <c r="CF52"/>
  <c r="CF53"/>
  <c r="CD54"/>
  <c r="CC54"/>
  <c r="CF28"/>
  <c r="CF29"/>
  <c r="CF30"/>
  <c r="CF31"/>
  <c r="CF32"/>
  <c r="CF33"/>
  <c r="CF35"/>
  <c r="CF38"/>
  <c r="CF39"/>
  <c r="CF40"/>
  <c r="CF41"/>
  <c r="CD42"/>
  <c r="CC42"/>
  <c r="CB24"/>
  <c r="CC24"/>
  <c r="CD24"/>
  <c r="CF11"/>
  <c r="CF13"/>
  <c r="CF14"/>
  <c r="CF16"/>
  <c r="CF17"/>
  <c r="CF18"/>
  <c r="CF19"/>
  <c r="CF20"/>
  <c r="CD21"/>
  <c r="CD22" s="1"/>
  <c r="CC21"/>
  <c r="CC22" s="1"/>
  <c r="CA22"/>
  <c r="CD14"/>
  <c r="CC14"/>
  <c r="CB14"/>
  <c r="CA14"/>
  <c r="CF4"/>
  <c r="CF5"/>
  <c r="CF6"/>
  <c r="CF7"/>
  <c r="CD7"/>
  <c r="CC7"/>
  <c r="CB7"/>
  <c r="CA7"/>
  <c r="CH64"/>
  <c r="CI64"/>
  <c r="CM64" s="1"/>
  <c r="CH65"/>
  <c r="CI65"/>
  <c r="CL29"/>
  <c r="CL65" s="1"/>
  <c r="CL75"/>
  <c r="CH31"/>
  <c r="CH66"/>
  <c r="CI66"/>
  <c r="CH67"/>
  <c r="CI67"/>
  <c r="CM67"/>
  <c r="CH68"/>
  <c r="CI68"/>
  <c r="CM68" s="1"/>
  <c r="CH34"/>
  <c r="CH69" s="1"/>
  <c r="CM69"/>
  <c r="CI69"/>
  <c r="CH70"/>
  <c r="CI70"/>
  <c r="CM70"/>
  <c r="CH71"/>
  <c r="CI71"/>
  <c r="CM71" s="1"/>
  <c r="CH72"/>
  <c r="CI72"/>
  <c r="CM72"/>
  <c r="CH73"/>
  <c r="CI73"/>
  <c r="CM73" s="1"/>
  <c r="CH74"/>
  <c r="CI74"/>
  <c r="CM74"/>
  <c r="CK75"/>
  <c r="CJ75"/>
  <c r="CI21"/>
  <c r="CI54"/>
  <c r="CI42"/>
  <c r="CI56"/>
  <c r="CH21"/>
  <c r="CH54"/>
  <c r="CM45"/>
  <c r="CM46"/>
  <c r="CM47"/>
  <c r="CM48"/>
  <c r="CM49"/>
  <c r="CM50"/>
  <c r="CM51"/>
  <c r="CM52"/>
  <c r="CM53"/>
  <c r="CK54"/>
  <c r="CJ54"/>
  <c r="CM28"/>
  <c r="CM29"/>
  <c r="CM30"/>
  <c r="CM32"/>
  <c r="CM33"/>
  <c r="CM34"/>
  <c r="CM35"/>
  <c r="CM38"/>
  <c r="CM39"/>
  <c r="CM40"/>
  <c r="CM41"/>
  <c r="CK42"/>
  <c r="CJ42"/>
  <c r="CI24"/>
  <c r="CJ24"/>
  <c r="CK24"/>
  <c r="CM11"/>
  <c r="CM13"/>
  <c r="CM14" s="1"/>
  <c r="CM16"/>
  <c r="CM17"/>
  <c r="CM18"/>
  <c r="CM19"/>
  <c r="CM20"/>
  <c r="CK21"/>
  <c r="CK22"/>
  <c r="CJ21"/>
  <c r="CJ22"/>
  <c r="CI22"/>
  <c r="CH22"/>
  <c r="CK14"/>
  <c r="CJ14"/>
  <c r="CI14"/>
  <c r="CH14"/>
  <c r="CM4"/>
  <c r="CM5"/>
  <c r="CM6"/>
  <c r="CM7"/>
  <c r="CK7"/>
  <c r="CJ7"/>
  <c r="CI7"/>
  <c r="CH7"/>
  <c r="DJ19" i="20"/>
  <c r="DJ26"/>
  <c r="DJ31" s="1"/>
  <c r="DG10"/>
  <c r="DG11"/>
  <c r="DG13"/>
  <c r="DG17"/>
  <c r="DG19"/>
  <c r="DG21"/>
  <c r="DG26"/>
  <c r="DG28"/>
  <c r="DG31"/>
  <c r="DJ33" s="1"/>
  <c r="L55" i="4"/>
  <c r="P55" s="1"/>
  <c r="Q55" s="1"/>
  <c r="G59"/>
  <c r="G72"/>
  <c r="Q67"/>
  <c r="Q65"/>
  <c r="Q61"/>
  <c r="G23" i="6"/>
  <c r="L18" i="4" s="1"/>
  <c r="G24" i="6"/>
  <c r="N19" i="4"/>
  <c r="N20"/>
  <c r="N21"/>
  <c r="N22"/>
  <c r="N23"/>
  <c r="G36" i="6"/>
  <c r="L31" i="4"/>
  <c r="N31"/>
  <c r="G37" i="6"/>
  <c r="L32" i="4" s="1"/>
  <c r="G38" i="6"/>
  <c r="N33" i="4"/>
  <c r="F39" i="6"/>
  <c r="G39"/>
  <c r="N34" i="4"/>
  <c r="N35"/>
  <c r="N36"/>
  <c r="N37"/>
  <c r="O7"/>
  <c r="G39"/>
  <c r="G41" s="1"/>
  <c r="G42"/>
  <c r="G76"/>
  <c r="G18" i="8"/>
  <c r="CO34" i="21"/>
  <c r="DH10" i="20"/>
  <c r="DK10"/>
  <c r="DK19" s="1"/>
  <c r="DK26" s="1"/>
  <c r="DK31" s="1"/>
  <c r="DH11"/>
  <c r="DK11"/>
  <c r="DL11" s="1"/>
  <c r="DH13"/>
  <c r="DK13"/>
  <c r="DL14"/>
  <c r="DL15"/>
  <c r="DL16"/>
  <c r="DH17"/>
  <c r="DK17"/>
  <c r="DH21"/>
  <c r="DL21" s="1"/>
  <c r="DH28"/>
  <c r="DL28" s="1"/>
  <c r="DI36"/>
  <c r="DL9"/>
  <c r="DL8"/>
  <c r="GW73" i="21"/>
  <c r="GX73"/>
  <c r="HB73" s="1"/>
  <c r="GP73"/>
  <c r="GQ73"/>
  <c r="GU73"/>
  <c r="GI73"/>
  <c r="GJ73"/>
  <c r="GN73" s="1"/>
  <c r="GB73"/>
  <c r="GC73"/>
  <c r="GG73"/>
  <c r="FU73"/>
  <c r="FV73"/>
  <c r="FZ73" s="1"/>
  <c r="FN73"/>
  <c r="FO73"/>
  <c r="FS73"/>
  <c r="FG73"/>
  <c r="FH73"/>
  <c r="FL73" s="1"/>
  <c r="EZ73"/>
  <c r="FA73"/>
  <c r="FE73"/>
  <c r="ES73"/>
  <c r="ET73"/>
  <c r="EX73" s="1"/>
  <c r="EL73"/>
  <c r="EM73"/>
  <c r="EQ73"/>
  <c r="EE73"/>
  <c r="EF73"/>
  <c r="EJ73" s="1"/>
  <c r="DX73"/>
  <c r="DY73"/>
  <c r="EC73"/>
  <c r="DQ73"/>
  <c r="DR73"/>
  <c r="DV73" s="1"/>
  <c r="DJ73"/>
  <c r="DK73"/>
  <c r="DO73"/>
  <c r="DC73"/>
  <c r="DD73"/>
  <c r="DH73" s="1"/>
  <c r="CV73"/>
  <c r="CW73"/>
  <c r="DA73"/>
  <c r="CO73"/>
  <c r="CP73"/>
  <c r="CT73" s="1"/>
  <c r="W73"/>
  <c r="X73"/>
  <c r="AB73"/>
  <c r="GW72"/>
  <c r="GX72"/>
  <c r="HB72" s="1"/>
  <c r="GP72"/>
  <c r="GQ72"/>
  <c r="GU72"/>
  <c r="GI72"/>
  <c r="GJ72"/>
  <c r="GN72" s="1"/>
  <c r="GB41"/>
  <c r="GB39" s="1"/>
  <c r="GB72" s="1"/>
  <c r="GG72" s="1"/>
  <c r="GC72"/>
  <c r="FU72"/>
  <c r="FV72"/>
  <c r="FZ72" s="1"/>
  <c r="FN72"/>
  <c r="FO72"/>
  <c r="FS72"/>
  <c r="FG72"/>
  <c r="FH72"/>
  <c r="FL72" s="1"/>
  <c r="EZ72"/>
  <c r="FA72"/>
  <c r="FE72"/>
  <c r="ES72"/>
  <c r="ET72"/>
  <c r="EX72" s="1"/>
  <c r="EL72"/>
  <c r="EM72"/>
  <c r="EQ72"/>
  <c r="EE72"/>
  <c r="EF72"/>
  <c r="EJ72" s="1"/>
  <c r="DX72"/>
  <c r="DY72"/>
  <c r="EC72"/>
  <c r="DQ72"/>
  <c r="DR72"/>
  <c r="DV72" s="1"/>
  <c r="DJ72"/>
  <c r="DK72"/>
  <c r="DO72"/>
  <c r="DC72"/>
  <c r="DD72"/>
  <c r="DH72" s="1"/>
  <c r="CV72"/>
  <c r="CW72"/>
  <c r="DA72"/>
  <c r="CO72"/>
  <c r="CP72"/>
  <c r="CT72" s="1"/>
  <c r="W72"/>
  <c r="X72"/>
  <c r="AB72"/>
  <c r="B36" i="14"/>
  <c r="B50"/>
  <c r="B37"/>
  <c r="B51"/>
  <c r="B38"/>
  <c r="B52"/>
  <c r="B39"/>
  <c r="B53"/>
  <c r="B58"/>
  <c r="B34"/>
  <c r="B46" s="1"/>
  <c r="B35"/>
  <c r="B47" s="1"/>
  <c r="B59"/>
  <c r="AB40" i="21"/>
  <c r="CS29"/>
  <c r="CO64"/>
  <c r="CP64"/>
  <c r="CT64" s="1"/>
  <c r="CO65"/>
  <c r="CT65" s="1"/>
  <c r="CP65"/>
  <c r="CS65"/>
  <c r="CO66"/>
  <c r="CP66"/>
  <c r="CT66" s="1"/>
  <c r="CO67"/>
  <c r="CP67"/>
  <c r="CT67"/>
  <c r="CO68"/>
  <c r="CP68"/>
  <c r="CT68" s="1"/>
  <c r="CP69"/>
  <c r="CO70"/>
  <c r="CP70"/>
  <c r="CT70" s="1"/>
  <c r="CO71"/>
  <c r="CP71"/>
  <c r="CT71"/>
  <c r="CO74"/>
  <c r="CP74"/>
  <c r="CT74" s="1"/>
  <c r="CS75"/>
  <c r="CR75"/>
  <c r="CQ75"/>
  <c r="CP21"/>
  <c r="CP54"/>
  <c r="CP42"/>
  <c r="CP56" s="1"/>
  <c r="CO21"/>
  <c r="CO54"/>
  <c r="CT45"/>
  <c r="CT46"/>
  <c r="CT47"/>
  <c r="CT54" s="1"/>
  <c r="CT48"/>
  <c r="CT49"/>
  <c r="CT50"/>
  <c r="CT51"/>
  <c r="CT52"/>
  <c r="CT53"/>
  <c r="CR54"/>
  <c r="CQ54"/>
  <c r="CT28"/>
  <c r="CT29"/>
  <c r="CT30"/>
  <c r="CT31"/>
  <c r="CT32"/>
  <c r="CT33"/>
  <c r="CT35"/>
  <c r="CT38"/>
  <c r="CT39"/>
  <c r="CT41"/>
  <c r="CR42"/>
  <c r="CQ42"/>
  <c r="CP24"/>
  <c r="CQ24"/>
  <c r="CR24"/>
  <c r="CT11"/>
  <c r="CT13"/>
  <c r="CT14" s="1"/>
  <c r="CT16"/>
  <c r="CT21" s="1"/>
  <c r="CT17"/>
  <c r="CT18"/>
  <c r="CT19"/>
  <c r="CS20"/>
  <c r="CT20" s="1"/>
  <c r="CR21"/>
  <c r="CR22" s="1"/>
  <c r="CQ21"/>
  <c r="CQ22" s="1"/>
  <c r="CP22"/>
  <c r="CO22"/>
  <c r="CR14"/>
  <c r="CQ14"/>
  <c r="CP14"/>
  <c r="CO14"/>
  <c r="CT4"/>
  <c r="CT5"/>
  <c r="CT6"/>
  <c r="CR7"/>
  <c r="CQ7"/>
  <c r="CP7"/>
  <c r="CO7"/>
  <c r="Z36" i="14"/>
  <c r="Z50" s="1"/>
  <c r="Z9"/>
  <c r="Z28"/>
  <c r="Z37"/>
  <c r="Z51" s="1"/>
  <c r="Z10"/>
  <c r="Z38" s="1"/>
  <c r="Z52" s="1"/>
  <c r="Z54" s="1"/>
  <c r="Z11"/>
  <c r="Z30"/>
  <c r="Z39" s="1"/>
  <c r="Z53"/>
  <c r="Z42"/>
  <c r="Z58"/>
  <c r="Y36"/>
  <c r="Y50"/>
  <c r="Y54" s="1"/>
  <c r="Y37"/>
  <c r="Y51"/>
  <c r="Y38"/>
  <c r="Y52"/>
  <c r="Y39"/>
  <c r="Y53"/>
  <c r="Y58"/>
  <c r="X36"/>
  <c r="X50" s="1"/>
  <c r="X28"/>
  <c r="X37" s="1"/>
  <c r="X51"/>
  <c r="X38"/>
  <c r="X52"/>
  <c r="X30"/>
  <c r="X39"/>
  <c r="X53" s="1"/>
  <c r="X58"/>
  <c r="W36"/>
  <c r="W50"/>
  <c r="W37"/>
  <c r="W51"/>
  <c r="W38"/>
  <c r="W52"/>
  <c r="W39"/>
  <c r="W53"/>
  <c r="W58"/>
  <c r="V36"/>
  <c r="V50" s="1"/>
  <c r="V37"/>
  <c r="V51" s="1"/>
  <c r="V54" s="1"/>
  <c r="V66" s="1"/>
  <c r="V38"/>
  <c r="V52" s="1"/>
  <c r="V39"/>
  <c r="V53" s="1"/>
  <c r="V58"/>
  <c r="Z7"/>
  <c r="Z25"/>
  <c r="Z34" s="1"/>
  <c r="Z46"/>
  <c r="Z8"/>
  <c r="Z59"/>
  <c r="Y34"/>
  <c r="Y46" s="1"/>
  <c r="Y35"/>
  <c r="Y47" s="1"/>
  <c r="Y48"/>
  <c r="Y59"/>
  <c r="X25"/>
  <c r="X34" s="1"/>
  <c r="X46" s="1"/>
  <c r="X48" s="1"/>
  <c r="X35"/>
  <c r="X47"/>
  <c r="X59"/>
  <c r="W34"/>
  <c r="W46" s="1"/>
  <c r="W35"/>
  <c r="W47" s="1"/>
  <c r="W59"/>
  <c r="V34"/>
  <c r="V46"/>
  <c r="V35"/>
  <c r="V47"/>
  <c r="V59"/>
  <c r="Y40"/>
  <c r="Y44" s="1"/>
  <c r="W40"/>
  <c r="W44" s="1"/>
  <c r="Z31"/>
  <c r="Y31"/>
  <c r="X31"/>
  <c r="W31"/>
  <c r="V31"/>
  <c r="Y12"/>
  <c r="X12"/>
  <c r="W12"/>
  <c r="V12"/>
  <c r="AL9" i="26"/>
  <c r="AL7"/>
  <c r="DS10" i="20"/>
  <c r="DO11"/>
  <c r="DS11"/>
  <c r="DN13"/>
  <c r="DN19"/>
  <c r="DN26" s="1"/>
  <c r="DO13"/>
  <c r="DO19"/>
  <c r="DO26" s="1"/>
  <c r="DO31"/>
  <c r="DR13"/>
  <c r="DS13"/>
  <c r="DS19" s="1"/>
  <c r="DS26" s="1"/>
  <c r="DS31" s="1"/>
  <c r="DS14"/>
  <c r="DS15"/>
  <c r="DS16"/>
  <c r="DR17"/>
  <c r="DS17" s="1"/>
  <c r="DS21"/>
  <c r="DN28"/>
  <c r="DN31" s="1"/>
  <c r="DN36" s="1"/>
  <c r="DO28"/>
  <c r="DS28"/>
  <c r="DQ36"/>
  <c r="DP36"/>
  <c r="DS9"/>
  <c r="DS8"/>
  <c r="DU10"/>
  <c r="DV11"/>
  <c r="DZ11" s="1"/>
  <c r="DU13"/>
  <c r="DV13"/>
  <c r="DY13"/>
  <c r="DZ14"/>
  <c r="DZ15"/>
  <c r="DZ16"/>
  <c r="DV17"/>
  <c r="DY17"/>
  <c r="DZ17"/>
  <c r="DZ21"/>
  <c r="DU28"/>
  <c r="DV28"/>
  <c r="DZ28"/>
  <c r="DX36"/>
  <c r="DW36"/>
  <c r="DZ9"/>
  <c r="DZ8"/>
  <c r="CV64" i="21"/>
  <c r="CW64"/>
  <c r="DA64" s="1"/>
  <c r="CV29"/>
  <c r="CW65"/>
  <c r="CZ29"/>
  <c r="CZ65"/>
  <c r="CV31"/>
  <c r="CV66"/>
  <c r="CW66"/>
  <c r="CV67"/>
  <c r="CW67"/>
  <c r="DA67"/>
  <c r="CV68"/>
  <c r="CW68"/>
  <c r="DA68" s="1"/>
  <c r="CV34"/>
  <c r="CV69" s="1"/>
  <c r="CW34"/>
  <c r="CW69" s="1"/>
  <c r="DA69" s="1"/>
  <c r="CV70"/>
  <c r="CW70"/>
  <c r="DA70" s="1"/>
  <c r="CV71"/>
  <c r="CW71"/>
  <c r="DA71"/>
  <c r="CV74"/>
  <c r="CW74"/>
  <c r="DA74" s="1"/>
  <c r="CY75"/>
  <c r="CX75"/>
  <c r="CW21"/>
  <c r="CW54"/>
  <c r="CV21"/>
  <c r="CV54"/>
  <c r="DA45"/>
  <c r="DA54" s="1"/>
  <c r="DA46"/>
  <c r="DA47"/>
  <c r="DA48"/>
  <c r="DA49"/>
  <c r="DA50"/>
  <c r="DA51"/>
  <c r="DA52"/>
  <c r="DA53"/>
  <c r="CY54"/>
  <c r="CX54"/>
  <c r="DA28"/>
  <c r="DA30"/>
  <c r="DA31"/>
  <c r="DA32"/>
  <c r="DA33"/>
  <c r="DA35"/>
  <c r="DA38"/>
  <c r="DA39"/>
  <c r="DA41"/>
  <c r="CY42"/>
  <c r="CX42"/>
  <c r="CW24"/>
  <c r="CX24"/>
  <c r="CY24"/>
  <c r="DA11"/>
  <c r="CW13"/>
  <c r="DA16"/>
  <c r="DA17"/>
  <c r="DA18"/>
  <c r="DA19"/>
  <c r="CZ20"/>
  <c r="DA20"/>
  <c r="CY21"/>
  <c r="CY22" s="1"/>
  <c r="CX21"/>
  <c r="CX22" s="1"/>
  <c r="CW22"/>
  <c r="CY14"/>
  <c r="CX14"/>
  <c r="CV14"/>
  <c r="DA4"/>
  <c r="DA5"/>
  <c r="DA6"/>
  <c r="DA7" s="1"/>
  <c r="CY7"/>
  <c r="CX7"/>
  <c r="CW7"/>
  <c r="CV7"/>
  <c r="EG10" i="20"/>
  <c r="EG11"/>
  <c r="EB13"/>
  <c r="EC13"/>
  <c r="EF13"/>
  <c r="EG14"/>
  <c r="EG15"/>
  <c r="EG16"/>
  <c r="EF17"/>
  <c r="EG17"/>
  <c r="EG21"/>
  <c r="EB28"/>
  <c r="EC28"/>
  <c r="EG28"/>
  <c r="EE36"/>
  <c r="ED36"/>
  <c r="EB19"/>
  <c r="EB26"/>
  <c r="EB31" s="1"/>
  <c r="EB36"/>
  <c r="EG9"/>
  <c r="EG8"/>
  <c r="DC64" i="21"/>
  <c r="DD64"/>
  <c r="DH64" s="1"/>
  <c r="DC29"/>
  <c r="DC65" s="1"/>
  <c r="DD65"/>
  <c r="DG29"/>
  <c r="DG65" s="1"/>
  <c r="DG75" s="1"/>
  <c r="DC31"/>
  <c r="DC66" s="1"/>
  <c r="DH66"/>
  <c r="DD66"/>
  <c r="DC67"/>
  <c r="DD67"/>
  <c r="DH67"/>
  <c r="DC68"/>
  <c r="DD68"/>
  <c r="DH68" s="1"/>
  <c r="DC69"/>
  <c r="DD34"/>
  <c r="DD69"/>
  <c r="DC70"/>
  <c r="DD70"/>
  <c r="DH70" s="1"/>
  <c r="DC71"/>
  <c r="DD71"/>
  <c r="DH71"/>
  <c r="DC74"/>
  <c r="DD74"/>
  <c r="DH74" s="1"/>
  <c r="DF75"/>
  <c r="DE75"/>
  <c r="DD21"/>
  <c r="DD54"/>
  <c r="DD42"/>
  <c r="DD56"/>
  <c r="DC21"/>
  <c r="DC54"/>
  <c r="DH45"/>
  <c r="DH46"/>
  <c r="DH47"/>
  <c r="DH48"/>
  <c r="DH49"/>
  <c r="DH50"/>
  <c r="DH51"/>
  <c r="DH52"/>
  <c r="DH53"/>
  <c r="DH54"/>
  <c r="DF54"/>
  <c r="DE54"/>
  <c r="DH28"/>
  <c r="DH30"/>
  <c r="DH32"/>
  <c r="DH33"/>
  <c r="DH34"/>
  <c r="DH35"/>
  <c r="DH38"/>
  <c r="DH39"/>
  <c r="DH41"/>
  <c r="DF42"/>
  <c r="DE42"/>
  <c r="DC24"/>
  <c r="DD24"/>
  <c r="DE24"/>
  <c r="DF24"/>
  <c r="DH24"/>
  <c r="DH11"/>
  <c r="DH13"/>
  <c r="DH14" s="1"/>
  <c r="DH16"/>
  <c r="DH21" s="1"/>
  <c r="DH17"/>
  <c r="DH18"/>
  <c r="DH19"/>
  <c r="DG20"/>
  <c r="DH20" s="1"/>
  <c r="DF21"/>
  <c r="DF22"/>
  <c r="DE21"/>
  <c r="DE22"/>
  <c r="DD22"/>
  <c r="DC22"/>
  <c r="DF14"/>
  <c r="DE14"/>
  <c r="DD14"/>
  <c r="DC14"/>
  <c r="DH4"/>
  <c r="DH5"/>
  <c r="DH6"/>
  <c r="DH7"/>
  <c r="DF7"/>
  <c r="DE7"/>
  <c r="DD7"/>
  <c r="DC7"/>
  <c r="EN10" i="20"/>
  <c r="EN11"/>
  <c r="EI13"/>
  <c r="EJ13"/>
  <c r="EM13"/>
  <c r="EN13" s="1"/>
  <c r="EN14"/>
  <c r="EN15"/>
  <c r="EN16"/>
  <c r="EI17"/>
  <c r="EI19" s="1"/>
  <c r="EM17"/>
  <c r="EN17"/>
  <c r="EN21"/>
  <c r="EI28"/>
  <c r="EJ28"/>
  <c r="EN28"/>
  <c r="EJ19"/>
  <c r="EJ26"/>
  <c r="EJ31" s="1"/>
  <c r="EM33"/>
  <c r="EN33" s="1"/>
  <c r="EL36"/>
  <c r="EK36"/>
  <c r="EI26"/>
  <c r="EI31" s="1"/>
  <c r="EI36"/>
  <c r="EN9"/>
  <c r="EN8"/>
  <c r="W74" i="21"/>
  <c r="DJ74"/>
  <c r="DO74" s="1"/>
  <c r="DJ64"/>
  <c r="DK64"/>
  <c r="DO64" s="1"/>
  <c r="DJ29"/>
  <c r="DJ65" s="1"/>
  <c r="DK65"/>
  <c r="DN29"/>
  <c r="DN65"/>
  <c r="DJ66"/>
  <c r="DK66"/>
  <c r="DO66" s="1"/>
  <c r="DJ67"/>
  <c r="DK67"/>
  <c r="DO67"/>
  <c r="DJ68"/>
  <c r="DK68"/>
  <c r="DO68" s="1"/>
  <c r="DJ69"/>
  <c r="DJ75" s="1"/>
  <c r="DK69"/>
  <c r="DO69"/>
  <c r="DJ70"/>
  <c r="DK70"/>
  <c r="DO70" s="1"/>
  <c r="DJ71"/>
  <c r="DK71"/>
  <c r="DO71"/>
  <c r="DK74"/>
  <c r="DM75"/>
  <c r="DL75"/>
  <c r="DK21"/>
  <c r="DK54"/>
  <c r="DK42"/>
  <c r="DJ21"/>
  <c r="DJ54"/>
  <c r="DJ56" s="1"/>
  <c r="DJ42"/>
  <c r="DO45"/>
  <c r="DO46"/>
  <c r="DO47"/>
  <c r="DO48"/>
  <c r="DO49"/>
  <c r="DO50"/>
  <c r="DO51"/>
  <c r="DO52"/>
  <c r="DO53"/>
  <c r="DM54"/>
  <c r="DL54"/>
  <c r="DO28"/>
  <c r="DO30"/>
  <c r="DO31"/>
  <c r="DO32"/>
  <c r="DO33"/>
  <c r="DO34"/>
  <c r="DO35"/>
  <c r="DO38"/>
  <c r="DO39"/>
  <c r="DO41"/>
  <c r="DM42"/>
  <c r="DL42"/>
  <c r="DJ24"/>
  <c r="DK24"/>
  <c r="DO24" s="1"/>
  <c r="DL24"/>
  <c r="DM24"/>
  <c r="DO11"/>
  <c r="DO13"/>
  <c r="DO14"/>
  <c r="DO16"/>
  <c r="DO17"/>
  <c r="DO18"/>
  <c r="DO21" s="1"/>
  <c r="DO19"/>
  <c r="DO20"/>
  <c r="DM21"/>
  <c r="DM22"/>
  <c r="DL21"/>
  <c r="DL22"/>
  <c r="DK22"/>
  <c r="DM14"/>
  <c r="DL14"/>
  <c r="DK14"/>
  <c r="DJ14"/>
  <c r="DO4"/>
  <c r="DO5"/>
  <c r="DO6"/>
  <c r="DM7"/>
  <c r="DL7"/>
  <c r="DK7"/>
  <c r="DJ7"/>
  <c r="AB9" i="26"/>
  <c r="AB7"/>
  <c r="E7" i="17"/>
  <c r="E8"/>
  <c r="E9"/>
  <c r="E13" s="1"/>
  <c r="E16" s="1"/>
  <c r="E19" s="1"/>
  <c r="E22" s="1"/>
  <c r="E25" s="1"/>
  <c r="E10"/>
  <c r="E11"/>
  <c r="E12"/>
  <c r="H16"/>
  <c r="DQ64" i="21"/>
  <c r="DR64"/>
  <c r="DV64"/>
  <c r="DQ29"/>
  <c r="DQ65"/>
  <c r="DR65"/>
  <c r="DU29"/>
  <c r="DQ66"/>
  <c r="DR66"/>
  <c r="DV66"/>
  <c r="DQ67"/>
  <c r="DR67"/>
  <c r="DQ68"/>
  <c r="DR68"/>
  <c r="DV68"/>
  <c r="DQ69"/>
  <c r="DR69"/>
  <c r="DV69" s="1"/>
  <c r="DQ70"/>
  <c r="DR70"/>
  <c r="DV70"/>
  <c r="DQ71"/>
  <c r="DR71"/>
  <c r="DV71" s="1"/>
  <c r="DQ74"/>
  <c r="DR74"/>
  <c r="DV74"/>
  <c r="DT75"/>
  <c r="DS75"/>
  <c r="DR21"/>
  <c r="DR22" s="1"/>
  <c r="DR54"/>
  <c r="DR56"/>
  <c r="DR42"/>
  <c r="DQ21"/>
  <c r="DQ22" s="1"/>
  <c r="DQ54"/>
  <c r="DQ56"/>
  <c r="DQ42"/>
  <c r="DV45"/>
  <c r="DV54" s="1"/>
  <c r="DV46"/>
  <c r="DV47"/>
  <c r="DV48"/>
  <c r="DV49"/>
  <c r="DV50"/>
  <c r="DV51"/>
  <c r="DV52"/>
  <c r="DV53"/>
  <c r="DT54"/>
  <c r="DS54"/>
  <c r="DV28"/>
  <c r="DV30"/>
  <c r="DV31"/>
  <c r="DV32"/>
  <c r="DV33"/>
  <c r="DV34"/>
  <c r="DV35"/>
  <c r="DV38"/>
  <c r="DV39"/>
  <c r="DV41"/>
  <c r="DT42"/>
  <c r="DS42"/>
  <c r="DQ24"/>
  <c r="DR24"/>
  <c r="DS24"/>
  <c r="DT24"/>
  <c r="DV24"/>
  <c r="DV11"/>
  <c r="DV13"/>
  <c r="DV14" s="1"/>
  <c r="DV16"/>
  <c r="DV17"/>
  <c r="DV18"/>
  <c r="DV19"/>
  <c r="DV20"/>
  <c r="DT21"/>
  <c r="DT22"/>
  <c r="DS21"/>
  <c r="DS22"/>
  <c r="DT14"/>
  <c r="DS14"/>
  <c r="DR14"/>
  <c r="DQ14"/>
  <c r="DV4"/>
  <c r="DV5"/>
  <c r="DV6"/>
  <c r="DT7"/>
  <c r="DS7"/>
  <c r="DR7"/>
  <c r="DQ7"/>
  <c r="B77" i="4"/>
  <c r="A77"/>
  <c r="C77"/>
  <c r="D77"/>
  <c r="E77"/>
  <c r="D59"/>
  <c r="D72"/>
  <c r="D39"/>
  <c r="D41"/>
  <c r="D42" s="1"/>
  <c r="AD9" i="26"/>
  <c r="AD7"/>
  <c r="FB10" i="20"/>
  <c r="FB11"/>
  <c r="EW13"/>
  <c r="EX13"/>
  <c r="FA13"/>
  <c r="FB14"/>
  <c r="FB15"/>
  <c r="FB16"/>
  <c r="FA17"/>
  <c r="FB17" s="1"/>
  <c r="FB21"/>
  <c r="EW28"/>
  <c r="EX28"/>
  <c r="FB28" s="1"/>
  <c r="EZ36"/>
  <c r="EY36"/>
  <c r="EW19"/>
  <c r="EW26" s="1"/>
  <c r="EW31" s="1"/>
  <c r="EW36" s="1"/>
  <c r="EU10"/>
  <c r="EU11"/>
  <c r="EP13"/>
  <c r="EU13" s="1"/>
  <c r="EQ13"/>
  <c r="ET13"/>
  <c r="EU14"/>
  <c r="EU15"/>
  <c r="EU16"/>
  <c r="EP17"/>
  <c r="ET17"/>
  <c r="EU17" s="1"/>
  <c r="EU21"/>
  <c r="EP28"/>
  <c r="EQ28"/>
  <c r="EU28" s="1"/>
  <c r="EQ19"/>
  <c r="EQ26" s="1"/>
  <c r="EQ31"/>
  <c r="EQ36" s="1"/>
  <c r="ES36"/>
  <c r="ER36"/>
  <c r="FB9"/>
  <c r="EU9"/>
  <c r="FB8"/>
  <c r="EU8"/>
  <c r="DX64" i="21"/>
  <c r="DY64"/>
  <c r="DX29"/>
  <c r="DX65" s="1"/>
  <c r="DY65"/>
  <c r="DY75" s="1"/>
  <c r="EB29"/>
  <c r="EB65"/>
  <c r="EB75" s="1"/>
  <c r="DX66"/>
  <c r="DY66"/>
  <c r="EC66" s="1"/>
  <c r="DX67"/>
  <c r="DY67"/>
  <c r="EC67" s="1"/>
  <c r="DX68"/>
  <c r="EC68" s="1"/>
  <c r="DY68"/>
  <c r="DX69"/>
  <c r="DY69"/>
  <c r="EC69"/>
  <c r="DX70"/>
  <c r="DY70"/>
  <c r="EC70" s="1"/>
  <c r="DX38"/>
  <c r="DX71" s="1"/>
  <c r="DY71"/>
  <c r="DX74"/>
  <c r="DY74"/>
  <c r="EC74"/>
  <c r="EA75"/>
  <c r="DZ75"/>
  <c r="DY21"/>
  <c r="DY54"/>
  <c r="DY42"/>
  <c r="DY56"/>
  <c r="DX21"/>
  <c r="DX51"/>
  <c r="EC45"/>
  <c r="EC46"/>
  <c r="EC47"/>
  <c r="EC48"/>
  <c r="EC49"/>
  <c r="EC50"/>
  <c r="EC52"/>
  <c r="EC53"/>
  <c r="EA54"/>
  <c r="DZ54"/>
  <c r="EC28"/>
  <c r="EC30"/>
  <c r="EC31"/>
  <c r="EC32"/>
  <c r="EC33"/>
  <c r="EC34"/>
  <c r="EC35"/>
  <c r="EC39"/>
  <c r="EC41"/>
  <c r="EA42"/>
  <c r="DZ42"/>
  <c r="DX24"/>
  <c r="DY24"/>
  <c r="DZ24"/>
  <c r="EC24"/>
  <c r="EA24"/>
  <c r="EC11"/>
  <c r="EC13"/>
  <c r="EC14"/>
  <c r="EC16"/>
  <c r="EC17"/>
  <c r="EC21" s="1"/>
  <c r="EC18"/>
  <c r="EC19"/>
  <c r="EC20"/>
  <c r="EA21"/>
  <c r="EA22"/>
  <c r="DZ21"/>
  <c r="DZ22"/>
  <c r="DX22"/>
  <c r="EA14"/>
  <c r="DZ14"/>
  <c r="DY14"/>
  <c r="DX14"/>
  <c r="EC4"/>
  <c r="EC5"/>
  <c r="EC6"/>
  <c r="EA7"/>
  <c r="DZ7"/>
  <c r="DY7"/>
  <c r="DX7"/>
  <c r="AE36" i="14"/>
  <c r="AE50" s="1"/>
  <c r="AE54" s="1"/>
  <c r="AE37"/>
  <c r="AE51"/>
  <c r="AE38"/>
  <c r="AE52"/>
  <c r="AE39"/>
  <c r="AE53"/>
  <c r="AE58"/>
  <c r="AD36"/>
  <c r="AD50" s="1"/>
  <c r="AD37"/>
  <c r="AD51"/>
  <c r="AD54" s="1"/>
  <c r="AD38"/>
  <c r="AD52"/>
  <c r="AD39"/>
  <c r="AD53"/>
  <c r="AD58"/>
  <c r="AC36"/>
  <c r="AC50" s="1"/>
  <c r="AC54" s="1"/>
  <c r="AC37"/>
  <c r="AC51" s="1"/>
  <c r="AC38"/>
  <c r="AC52" s="1"/>
  <c r="AC39"/>
  <c r="AC53" s="1"/>
  <c r="AC58"/>
  <c r="AB36"/>
  <c r="AB50"/>
  <c r="AB37"/>
  <c r="AB51"/>
  <c r="AB38"/>
  <c r="AB52"/>
  <c r="AB39"/>
  <c r="AB53"/>
  <c r="AB58"/>
  <c r="AE34"/>
  <c r="AE46" s="1"/>
  <c r="AE35"/>
  <c r="AE47" s="1"/>
  <c r="AE59"/>
  <c r="AD34"/>
  <c r="AD46"/>
  <c r="AD48" s="1"/>
  <c r="AD56" s="1"/>
  <c r="AD60" s="1"/>
  <c r="AD35"/>
  <c r="AD47" s="1"/>
  <c r="AD59"/>
  <c r="AC34"/>
  <c r="AC46"/>
  <c r="AC48" s="1"/>
  <c r="AC35"/>
  <c r="AC47"/>
  <c r="AC59"/>
  <c r="AB34"/>
  <c r="AB46" s="1"/>
  <c r="AB48" s="1"/>
  <c r="AB35"/>
  <c r="AB47"/>
  <c r="AB59"/>
  <c r="AE31"/>
  <c r="AD31"/>
  <c r="AC31"/>
  <c r="AB31"/>
  <c r="AE12"/>
  <c r="AD12"/>
  <c r="AC12"/>
  <c r="AB12"/>
  <c r="FH13" i="20"/>
  <c r="FI10"/>
  <c r="FI11"/>
  <c r="FD13"/>
  <c r="FE13"/>
  <c r="FI13" s="1"/>
  <c r="FI14"/>
  <c r="FI15"/>
  <c r="FI16"/>
  <c r="FH17"/>
  <c r="FI21"/>
  <c r="FI28"/>
  <c r="FE19"/>
  <c r="FE26" s="1"/>
  <c r="FE31" s="1"/>
  <c r="FG36"/>
  <c r="FF36"/>
  <c r="FD19"/>
  <c r="FD26"/>
  <c r="FD31" s="1"/>
  <c r="FD36"/>
  <c r="FI9"/>
  <c r="FI8"/>
  <c r="EI29" i="21"/>
  <c r="EP29"/>
  <c r="EE64"/>
  <c r="EF64"/>
  <c r="EE29"/>
  <c r="EE65"/>
  <c r="EF65"/>
  <c r="EI65"/>
  <c r="EE66"/>
  <c r="EF66"/>
  <c r="EJ66" s="1"/>
  <c r="EE67"/>
  <c r="EF67"/>
  <c r="EJ67"/>
  <c r="EE68"/>
  <c r="EF68"/>
  <c r="EJ68" s="1"/>
  <c r="EE69"/>
  <c r="EF69"/>
  <c r="EJ69"/>
  <c r="EE70"/>
  <c r="EF70"/>
  <c r="EJ70" s="1"/>
  <c r="EE71"/>
  <c r="EF71"/>
  <c r="EJ71"/>
  <c r="EE74"/>
  <c r="EF74"/>
  <c r="EJ74" s="1"/>
  <c r="EI75"/>
  <c r="EH75"/>
  <c r="EG75"/>
  <c r="EF21"/>
  <c r="EF54"/>
  <c r="EF42"/>
  <c r="EF56"/>
  <c r="EE21"/>
  <c r="EE51"/>
  <c r="EE54" s="1"/>
  <c r="EE56" s="1"/>
  <c r="EJ45"/>
  <c r="EJ46"/>
  <c r="EJ47"/>
  <c r="EJ48"/>
  <c r="EJ49"/>
  <c r="EJ50"/>
  <c r="EJ52"/>
  <c r="EJ53"/>
  <c r="EH54"/>
  <c r="EG54"/>
  <c r="EJ28"/>
  <c r="EJ30"/>
  <c r="EJ31"/>
  <c r="EJ32"/>
  <c r="EJ33"/>
  <c r="EJ34"/>
  <c r="EJ35"/>
  <c r="EJ38"/>
  <c r="EJ39"/>
  <c r="EJ41"/>
  <c r="EH42"/>
  <c r="EG42"/>
  <c r="EE24"/>
  <c r="EF24"/>
  <c r="EG24"/>
  <c r="EH24"/>
  <c r="EJ11"/>
  <c r="EJ13"/>
  <c r="EJ14"/>
  <c r="EJ16"/>
  <c r="EJ17"/>
  <c r="EJ18"/>
  <c r="EJ19"/>
  <c r="EJ20"/>
  <c r="EH21"/>
  <c r="EH22" s="1"/>
  <c r="EG21"/>
  <c r="EG22" s="1"/>
  <c r="EF22"/>
  <c r="EH14"/>
  <c r="EG14"/>
  <c r="EF14"/>
  <c r="EE14"/>
  <c r="EJ4"/>
  <c r="EJ5"/>
  <c r="EJ6"/>
  <c r="EJ7" s="1"/>
  <c r="EH7"/>
  <c r="EG7"/>
  <c r="EF7"/>
  <c r="EE7"/>
  <c r="W9" i="26"/>
  <c r="FP10" i="20"/>
  <c r="FP11"/>
  <c r="FK13"/>
  <c r="FL13"/>
  <c r="FO13"/>
  <c r="FP14"/>
  <c r="FP15"/>
  <c r="FP16"/>
  <c r="FO17"/>
  <c r="FP17" s="1"/>
  <c r="FP21"/>
  <c r="FP28"/>
  <c r="FL19"/>
  <c r="FL26" s="1"/>
  <c r="FL31"/>
  <c r="FN36"/>
  <c r="FM36"/>
  <c r="FP9"/>
  <c r="FP8"/>
  <c r="EL64" i="21"/>
  <c r="EM64"/>
  <c r="EM75" s="1"/>
  <c r="EL29"/>
  <c r="EL65"/>
  <c r="EM65"/>
  <c r="EP65"/>
  <c r="EL66"/>
  <c r="EM66"/>
  <c r="EQ66" s="1"/>
  <c r="EL67"/>
  <c r="EM67"/>
  <c r="EQ67"/>
  <c r="EL68"/>
  <c r="EM68"/>
  <c r="EQ68" s="1"/>
  <c r="EL69"/>
  <c r="EM69"/>
  <c r="EQ69"/>
  <c r="EL70"/>
  <c r="EM70"/>
  <c r="EQ70" s="1"/>
  <c r="EL71"/>
  <c r="EM71"/>
  <c r="EQ71"/>
  <c r="EL74"/>
  <c r="EM74"/>
  <c r="EQ74" s="1"/>
  <c r="EP75"/>
  <c r="EO75"/>
  <c r="EN75"/>
  <c r="EM21"/>
  <c r="EM54"/>
  <c r="EM42"/>
  <c r="EM56"/>
  <c r="EL21"/>
  <c r="EL54"/>
  <c r="EL42"/>
  <c r="EL56"/>
  <c r="EQ45"/>
  <c r="EQ46"/>
  <c r="EQ47"/>
  <c r="EQ48"/>
  <c r="EQ49"/>
  <c r="EQ50"/>
  <c r="EQ51"/>
  <c r="EQ52"/>
  <c r="EQ53"/>
  <c r="EQ54" s="1"/>
  <c r="EO54"/>
  <c r="EN54"/>
  <c r="EQ28"/>
  <c r="EQ29"/>
  <c r="EQ30"/>
  <c r="EQ31"/>
  <c r="EQ32"/>
  <c r="EQ33"/>
  <c r="EQ34"/>
  <c r="EQ35"/>
  <c r="EQ38"/>
  <c r="EQ42" s="1"/>
  <c r="EQ39"/>
  <c r="EQ41"/>
  <c r="EO42"/>
  <c r="EN42"/>
  <c r="EL24"/>
  <c r="EM24"/>
  <c r="EQ24" s="1"/>
  <c r="EN24"/>
  <c r="EO24"/>
  <c r="EQ11"/>
  <c r="EQ13"/>
  <c r="EQ14"/>
  <c r="EQ16"/>
  <c r="EQ17"/>
  <c r="EQ18"/>
  <c r="EQ21" s="1"/>
  <c r="EQ19"/>
  <c r="EQ20"/>
  <c r="EO21"/>
  <c r="EO22"/>
  <c r="EN21"/>
  <c r="EN22"/>
  <c r="EL22"/>
  <c r="EO14"/>
  <c r="EN14"/>
  <c r="EM14"/>
  <c r="EL14"/>
  <c r="EQ4"/>
  <c r="EQ5"/>
  <c r="EQ6"/>
  <c r="EO7"/>
  <c r="EN7"/>
  <c r="EM7"/>
  <c r="EL7"/>
  <c r="V9" i="26"/>
  <c r="X9" s="1"/>
  <c r="U9"/>
  <c r="ES64" i="21"/>
  <c r="ES75" s="1"/>
  <c r="ET64"/>
  <c r="EX64"/>
  <c r="ES29"/>
  <c r="ES65"/>
  <c r="ET65"/>
  <c r="EW29"/>
  <c r="EW65" s="1"/>
  <c r="ES66"/>
  <c r="ET66"/>
  <c r="EX66"/>
  <c r="ES67"/>
  <c r="ET67"/>
  <c r="EX67" s="1"/>
  <c r="ES68"/>
  <c r="ET68"/>
  <c r="EX68"/>
  <c r="ES69"/>
  <c r="ET69"/>
  <c r="EX69" s="1"/>
  <c r="ES70"/>
  <c r="ET70"/>
  <c r="EX70"/>
  <c r="ES71"/>
  <c r="ET71"/>
  <c r="EX71" s="1"/>
  <c r="ES74"/>
  <c r="ET74"/>
  <c r="EX74"/>
  <c r="EV75"/>
  <c r="EU75"/>
  <c r="ET16"/>
  <c r="ET21"/>
  <c r="ET45"/>
  <c r="ET54"/>
  <c r="ET42"/>
  <c r="ES21"/>
  <c r="ES22" s="1"/>
  <c r="ES54"/>
  <c r="EX46"/>
  <c r="EX47"/>
  <c r="EX48"/>
  <c r="EX49"/>
  <c r="EX50"/>
  <c r="EX51"/>
  <c r="EX52"/>
  <c r="EX53"/>
  <c r="EV54"/>
  <c r="EU54"/>
  <c r="EX28"/>
  <c r="EX30"/>
  <c r="EX31"/>
  <c r="EX32"/>
  <c r="EX33"/>
  <c r="EX34"/>
  <c r="EX35"/>
  <c r="EX38"/>
  <c r="EX39"/>
  <c r="EX41"/>
  <c r="EV42"/>
  <c r="EU42"/>
  <c r="ES24"/>
  <c r="ET24"/>
  <c r="EU24"/>
  <c r="EV24"/>
  <c r="EX24" s="1"/>
  <c r="EX11"/>
  <c r="EX13"/>
  <c r="EX14" s="1"/>
  <c r="EX17"/>
  <c r="EX18"/>
  <c r="EX19"/>
  <c r="EX20"/>
  <c r="EV21"/>
  <c r="EV22" s="1"/>
  <c r="EU21"/>
  <c r="EU22" s="1"/>
  <c r="EV14"/>
  <c r="EU14"/>
  <c r="ET14"/>
  <c r="ES14"/>
  <c r="EX4"/>
  <c r="EX5"/>
  <c r="EX6"/>
  <c r="EV7"/>
  <c r="EU7"/>
  <c r="ET7"/>
  <c r="ES7"/>
  <c r="C59" i="4"/>
  <c r="C39"/>
  <c r="C41" s="1"/>
  <c r="C42"/>
  <c r="E39"/>
  <c r="E41" s="1"/>
  <c r="E42"/>
  <c r="B39"/>
  <c r="B41"/>
  <c r="B42" s="1"/>
  <c r="A39"/>
  <c r="A41" s="1"/>
  <c r="A42"/>
  <c r="FR38" i="20"/>
  <c r="FW10"/>
  <c r="FV11"/>
  <c r="FW11"/>
  <c r="FR13"/>
  <c r="FS13"/>
  <c r="FS19" s="1"/>
  <c r="FS26" s="1"/>
  <c r="FS31" s="1"/>
  <c r="FV13"/>
  <c r="FW14"/>
  <c r="FW15"/>
  <c r="FW16"/>
  <c r="FV17"/>
  <c r="FW17"/>
  <c r="FW21"/>
  <c r="FW28"/>
  <c r="FU36"/>
  <c r="FT36"/>
  <c r="FW9"/>
  <c r="FW8"/>
  <c r="FY38"/>
  <c r="GD10"/>
  <c r="GD11"/>
  <c r="FY13"/>
  <c r="FZ13"/>
  <c r="FZ19" s="1"/>
  <c r="FZ26" s="1"/>
  <c r="FZ31" s="1"/>
  <c r="GC13"/>
  <c r="GD14"/>
  <c r="GD15"/>
  <c r="GD16"/>
  <c r="GC17"/>
  <c r="GD17"/>
  <c r="GD21"/>
  <c r="FY28"/>
  <c r="FZ28"/>
  <c r="GD28"/>
  <c r="GB36"/>
  <c r="GA36"/>
  <c r="GD9"/>
  <c r="GC8"/>
  <c r="GD8"/>
  <c r="GF38"/>
  <c r="GK10"/>
  <c r="GK11"/>
  <c r="GF13"/>
  <c r="GG13"/>
  <c r="GJ13"/>
  <c r="GJ19" s="1"/>
  <c r="GJ26" s="1"/>
  <c r="GJ31" s="1"/>
  <c r="GK14"/>
  <c r="GK15"/>
  <c r="GK16"/>
  <c r="GJ17"/>
  <c r="GK17"/>
  <c r="GF21"/>
  <c r="GK21"/>
  <c r="GF28"/>
  <c r="GG28"/>
  <c r="GK28" s="1"/>
  <c r="GG19"/>
  <c r="GG26" s="1"/>
  <c r="GG31"/>
  <c r="GI36"/>
  <c r="GH36"/>
  <c r="GK9"/>
  <c r="GJ8"/>
  <c r="GK8" s="1"/>
  <c r="AJ36" i="14"/>
  <c r="AJ50" s="1"/>
  <c r="AJ37"/>
  <c r="AJ51" s="1"/>
  <c r="AJ38"/>
  <c r="AJ52" s="1"/>
  <c r="AJ39"/>
  <c r="AJ53" s="1"/>
  <c r="AJ42"/>
  <c r="AJ58" s="1"/>
  <c r="AI36"/>
  <c r="AI50" s="1"/>
  <c r="AI54" s="1"/>
  <c r="AI37"/>
  <c r="AI51"/>
  <c r="AI38"/>
  <c r="AI52"/>
  <c r="AI39"/>
  <c r="AI53"/>
  <c r="AI58"/>
  <c r="AH36"/>
  <c r="AH50" s="1"/>
  <c r="AH37"/>
  <c r="AH51"/>
  <c r="AH54" s="1"/>
  <c r="AH38"/>
  <c r="AH52"/>
  <c r="AH39"/>
  <c r="AH53"/>
  <c r="AH58"/>
  <c r="AG36"/>
  <c r="AG50" s="1"/>
  <c r="AG54" s="1"/>
  <c r="AG66" s="1"/>
  <c r="AG37"/>
  <c r="AG51"/>
  <c r="AG38"/>
  <c r="AG52"/>
  <c r="AG39"/>
  <c r="AG53"/>
  <c r="AG58"/>
  <c r="AJ7"/>
  <c r="AJ25"/>
  <c r="AJ35"/>
  <c r="AJ47" s="1"/>
  <c r="AJ59"/>
  <c r="AI34"/>
  <c r="AI46"/>
  <c r="AI35"/>
  <c r="AI47"/>
  <c r="AI59"/>
  <c r="AH34"/>
  <c r="AH46" s="1"/>
  <c r="AH48" s="1"/>
  <c r="AH35"/>
  <c r="AH47"/>
  <c r="AH59"/>
  <c r="AG34"/>
  <c r="AG46" s="1"/>
  <c r="AG35"/>
  <c r="AG47" s="1"/>
  <c r="AG48" s="1"/>
  <c r="AG59"/>
  <c r="AJ31"/>
  <c r="AI31"/>
  <c r="AH31"/>
  <c r="AG31"/>
  <c r="AI12"/>
  <c r="AH12"/>
  <c r="AG12"/>
  <c r="X7" i="26"/>
  <c r="EZ28" i="21"/>
  <c r="EZ64"/>
  <c r="FA64"/>
  <c r="EZ29"/>
  <c r="FA65"/>
  <c r="FD29"/>
  <c r="FD65" s="1"/>
  <c r="FD75"/>
  <c r="EZ31"/>
  <c r="EZ66"/>
  <c r="FE66" s="1"/>
  <c r="FA66"/>
  <c r="EZ67"/>
  <c r="FA67"/>
  <c r="FE67" s="1"/>
  <c r="EZ68"/>
  <c r="FA68"/>
  <c r="FE68"/>
  <c r="EZ69"/>
  <c r="FA69"/>
  <c r="FE69" s="1"/>
  <c r="EZ70"/>
  <c r="FA70"/>
  <c r="FE70"/>
  <c r="EZ71"/>
  <c r="FA71"/>
  <c r="FE71" s="1"/>
  <c r="EZ74"/>
  <c r="FA74"/>
  <c r="FE74"/>
  <c r="FC75"/>
  <c r="FB75"/>
  <c r="FA21"/>
  <c r="FA22" s="1"/>
  <c r="FA54"/>
  <c r="FA42"/>
  <c r="EZ21"/>
  <c r="EZ54"/>
  <c r="FE45"/>
  <c r="FE46"/>
  <c r="FE47"/>
  <c r="FE48"/>
  <c r="FE49"/>
  <c r="FE50"/>
  <c r="FE51"/>
  <c r="FE52"/>
  <c r="FE53"/>
  <c r="FC54"/>
  <c r="FB54"/>
  <c r="FE28"/>
  <c r="FE29"/>
  <c r="FE30"/>
  <c r="FE31"/>
  <c r="FE32"/>
  <c r="FE42" s="1"/>
  <c r="FE33"/>
  <c r="FE34"/>
  <c r="FE35"/>
  <c r="FE38"/>
  <c r="FE39"/>
  <c r="FE41"/>
  <c r="FC42"/>
  <c r="FB42"/>
  <c r="EZ24"/>
  <c r="FA24"/>
  <c r="FE24" s="1"/>
  <c r="FB24"/>
  <c r="FC24"/>
  <c r="FE11"/>
  <c r="FE13"/>
  <c r="FE14" s="1"/>
  <c r="FE22" s="1"/>
  <c r="FE16"/>
  <c r="FE17"/>
  <c r="FE18"/>
  <c r="FE21" s="1"/>
  <c r="FE19"/>
  <c r="FE20"/>
  <c r="FC21"/>
  <c r="FC22"/>
  <c r="FB21"/>
  <c r="FB22"/>
  <c r="FC14"/>
  <c r="FB14"/>
  <c r="FA14"/>
  <c r="EZ14"/>
  <c r="FE4"/>
  <c r="FE7" s="1"/>
  <c r="FE5"/>
  <c r="FE6"/>
  <c r="FC7"/>
  <c r="FB7"/>
  <c r="FA7"/>
  <c r="EZ7"/>
  <c r="A63" i="6"/>
  <c r="A76"/>
  <c r="A32"/>
  <c r="A46"/>
  <c r="A47" s="1"/>
  <c r="H11"/>
  <c r="H71"/>
  <c r="H69"/>
  <c r="H65"/>
  <c r="H59"/>
  <c r="H45"/>
  <c r="H37"/>
  <c r="H23"/>
  <c r="H17"/>
  <c r="F78"/>
  <c r="H36"/>
  <c r="E63"/>
  <c r="E76"/>
  <c r="F32"/>
  <c r="A63" i="8"/>
  <c r="A76" s="1"/>
  <c r="A44"/>
  <c r="A46" s="1"/>
  <c r="A47" s="1"/>
  <c r="A81"/>
  <c r="A98"/>
  <c r="G65"/>
  <c r="G71"/>
  <c r="G69"/>
  <c r="G61"/>
  <c r="G12"/>
  <c r="G9"/>
  <c r="H9" s="1"/>
  <c r="D98"/>
  <c r="E44"/>
  <c r="E46"/>
  <c r="E47" s="1"/>
  <c r="E63"/>
  <c r="E76"/>
  <c r="E78" s="1"/>
  <c r="E104" i="7"/>
  <c r="E103"/>
  <c r="E102"/>
  <c r="E101"/>
  <c r="E100"/>
  <c r="E99"/>
  <c r="E98"/>
  <c r="E97"/>
  <c r="E96"/>
  <c r="E95"/>
  <c r="E94"/>
  <c r="E93"/>
  <c r="E92"/>
  <c r="G9" i="18"/>
  <c r="G12" s="1"/>
  <c r="S35"/>
  <c r="C22"/>
  <c r="F22" s="1"/>
  <c r="D35"/>
  <c r="D44"/>
  <c r="D45" s="1"/>
  <c r="D47" s="1"/>
  <c r="C34"/>
  <c r="S20"/>
  <c r="S26" s="1"/>
  <c r="H12"/>
  <c r="S16" s="1"/>
  <c r="I12"/>
  <c r="J12"/>
  <c r="K12"/>
  <c r="L12"/>
  <c r="M12"/>
  <c r="N12"/>
  <c r="O11"/>
  <c r="O9"/>
  <c r="O10"/>
  <c r="O12"/>
  <c r="P11"/>
  <c r="P10"/>
  <c r="P9"/>
  <c r="P12"/>
  <c r="D14"/>
  <c r="D19"/>
  <c r="D25"/>
  <c r="D27" s="1"/>
  <c r="D33"/>
  <c r="F32"/>
  <c r="S48"/>
  <c r="S27"/>
  <c r="S44"/>
  <c r="P45"/>
  <c r="F43"/>
  <c r="S52"/>
  <c r="F39"/>
  <c r="C33"/>
  <c r="F31"/>
  <c r="F33"/>
  <c r="S19"/>
  <c r="F34"/>
  <c r="N36"/>
  <c r="O34"/>
  <c r="F46"/>
  <c r="S14"/>
  <c r="C35"/>
  <c r="F35" s="1"/>
  <c r="C12"/>
  <c r="C16"/>
  <c r="F16" s="1"/>
  <c r="C17"/>
  <c r="F17" s="1"/>
  <c r="C44"/>
  <c r="C45" s="1"/>
  <c r="C47" s="1"/>
  <c r="O7" i="26"/>
  <c r="P9"/>
  <c r="P7"/>
  <c r="O9"/>
  <c r="N7"/>
  <c r="R7"/>
  <c r="N9"/>
  <c r="R9"/>
  <c r="J9"/>
  <c r="L9"/>
  <c r="L7"/>
  <c r="F9"/>
  <c r="F7"/>
  <c r="GQ8" i="20"/>
  <c r="GR8" s="1"/>
  <c r="GM13"/>
  <c r="GM19" s="1"/>
  <c r="GM26" s="1"/>
  <c r="GM31" s="1"/>
  <c r="GM36" s="1"/>
  <c r="GM38" s="1"/>
  <c r="GM28"/>
  <c r="GR10"/>
  <c r="GR11"/>
  <c r="GN13"/>
  <c r="GN19"/>
  <c r="GQ13"/>
  <c r="GR14"/>
  <c r="GR15"/>
  <c r="GR16"/>
  <c r="GQ17"/>
  <c r="GR17"/>
  <c r="GR21"/>
  <c r="GN28"/>
  <c r="GN26"/>
  <c r="GN31" s="1"/>
  <c r="GP36"/>
  <c r="GO36"/>
  <c r="GR9"/>
  <c r="GT13"/>
  <c r="GT17"/>
  <c r="GT19"/>
  <c r="GT21"/>
  <c r="GT26"/>
  <c r="GT28"/>
  <c r="GT31"/>
  <c r="GT36" s="1"/>
  <c r="GT38"/>
  <c r="GY10"/>
  <c r="GU11"/>
  <c r="GU13"/>
  <c r="GX13"/>
  <c r="GY13" s="1"/>
  <c r="GY14"/>
  <c r="GY15"/>
  <c r="GY16"/>
  <c r="GU17"/>
  <c r="GY17" s="1"/>
  <c r="GU21"/>
  <c r="GY21" s="1"/>
  <c r="GU28"/>
  <c r="GY28" s="1"/>
  <c r="GW36"/>
  <c r="GV36"/>
  <c r="GY9"/>
  <c r="GY8"/>
  <c r="HA11"/>
  <c r="HA13"/>
  <c r="HA17"/>
  <c r="HA19"/>
  <c r="HA26" s="1"/>
  <c r="HA31" s="1"/>
  <c r="HA36" s="1"/>
  <c r="HA38" s="1"/>
  <c r="HA21"/>
  <c r="HF21"/>
  <c r="HA28"/>
  <c r="HF10"/>
  <c r="HB11"/>
  <c r="HF11"/>
  <c r="HB13"/>
  <c r="HE13"/>
  <c r="HF14"/>
  <c r="HE15"/>
  <c r="HF15" s="1"/>
  <c r="HF16"/>
  <c r="HF17"/>
  <c r="HB21"/>
  <c r="HB28"/>
  <c r="HF28"/>
  <c r="HB19"/>
  <c r="HB26"/>
  <c r="HB31" s="1"/>
  <c r="HE33"/>
  <c r="HD36"/>
  <c r="HC36"/>
  <c r="HF9"/>
  <c r="HF8"/>
  <c r="HH13"/>
  <c r="HH21"/>
  <c r="HM21" s="1"/>
  <c r="HH28"/>
  <c r="HM10"/>
  <c r="HI11"/>
  <c r="HM11"/>
  <c r="HI13"/>
  <c r="HL13"/>
  <c r="HL19" s="1"/>
  <c r="HL26" s="1"/>
  <c r="HL31" s="1"/>
  <c r="HM14"/>
  <c r="HL15"/>
  <c r="HM15"/>
  <c r="HM16"/>
  <c r="HM17"/>
  <c r="HI21"/>
  <c r="HI28"/>
  <c r="HM28"/>
  <c r="HK36"/>
  <c r="HJ36"/>
  <c r="HM9"/>
  <c r="HM8"/>
  <c r="HO10"/>
  <c r="HT10"/>
  <c r="HO11"/>
  <c r="HT11"/>
  <c r="HO13"/>
  <c r="HP13"/>
  <c r="HP19" s="1"/>
  <c r="HS13"/>
  <c r="HS19"/>
  <c r="HS26" s="1"/>
  <c r="HS31"/>
  <c r="HT14"/>
  <c r="HT15"/>
  <c r="HT16"/>
  <c r="HO17"/>
  <c r="HT17" s="1"/>
  <c r="HO21"/>
  <c r="HT21" s="1"/>
  <c r="HT28"/>
  <c r="HP26"/>
  <c r="HP31" s="1"/>
  <c r="HR36"/>
  <c r="HQ36"/>
  <c r="HO19"/>
  <c r="HO26" s="1"/>
  <c r="HO31" s="1"/>
  <c r="HO36" s="1"/>
  <c r="HT9"/>
  <c r="HT8"/>
  <c r="V33"/>
  <c r="U33"/>
  <c r="T33"/>
  <c r="Y28"/>
  <c r="X28"/>
  <c r="W28"/>
  <c r="V28"/>
  <c r="U28"/>
  <c r="T28"/>
  <c r="Y21"/>
  <c r="X21"/>
  <c r="W21"/>
  <c r="V21"/>
  <c r="U21"/>
  <c r="T21"/>
  <c r="X17"/>
  <c r="W17"/>
  <c r="V17"/>
  <c r="U17"/>
  <c r="T17"/>
  <c r="Y16"/>
  <c r="X16"/>
  <c r="W16"/>
  <c r="V16"/>
  <c r="U16"/>
  <c r="T16"/>
  <c r="Y15"/>
  <c r="X15"/>
  <c r="W15"/>
  <c r="V15"/>
  <c r="U15"/>
  <c r="T15"/>
  <c r="Y14"/>
  <c r="X14"/>
  <c r="W14"/>
  <c r="V14"/>
  <c r="U14"/>
  <c r="U19" s="1"/>
  <c r="T14"/>
  <c r="X13"/>
  <c r="W13"/>
  <c r="V13"/>
  <c r="U13"/>
  <c r="T13"/>
  <c r="Y12"/>
  <c r="X12"/>
  <c r="W12"/>
  <c r="V12"/>
  <c r="U12"/>
  <c r="T12"/>
  <c r="Y11"/>
  <c r="X11"/>
  <c r="W11"/>
  <c r="V11"/>
  <c r="V19" s="1"/>
  <c r="V26" s="1"/>
  <c r="V31" s="1"/>
  <c r="V36" s="1"/>
  <c r="U11"/>
  <c r="T11"/>
  <c r="Y10"/>
  <c r="X10"/>
  <c r="W10"/>
  <c r="W19"/>
  <c r="W26" s="1"/>
  <c r="W31" s="1"/>
  <c r="V10"/>
  <c r="U10"/>
  <c r="T10"/>
  <c r="Y9"/>
  <c r="X9"/>
  <c r="W9"/>
  <c r="V9"/>
  <c r="U9"/>
  <c r="T9"/>
  <c r="Y8"/>
  <c r="X8"/>
  <c r="W8"/>
  <c r="V8"/>
  <c r="U8"/>
  <c r="T8"/>
  <c r="HZ15"/>
  <c r="IA15" s="1"/>
  <c r="HX13"/>
  <c r="HV13"/>
  <c r="HW13"/>
  <c r="HZ13"/>
  <c r="IA13" s="1"/>
  <c r="HV28"/>
  <c r="HV17"/>
  <c r="HV19" s="1"/>
  <c r="HV26" s="1"/>
  <c r="HV31" s="1"/>
  <c r="HV36" s="1"/>
  <c r="HV38" s="1"/>
  <c r="HW17"/>
  <c r="HV21"/>
  <c r="HX11"/>
  <c r="HZ11"/>
  <c r="IA11"/>
  <c r="HW10"/>
  <c r="HZ17"/>
  <c r="HZ16"/>
  <c r="IA16" s="1"/>
  <c r="HX21"/>
  <c r="HX10"/>
  <c r="HW28"/>
  <c r="HW21"/>
  <c r="IA14"/>
  <c r="IA23"/>
  <c r="IA28"/>
  <c r="HY19"/>
  <c r="HY26"/>
  <c r="HY31" s="1"/>
  <c r="HY36" s="1"/>
  <c r="HZ8"/>
  <c r="IA8"/>
  <c r="IV9"/>
  <c r="IQ8"/>
  <c r="IV8" s="1"/>
  <c r="ID9"/>
  <c r="IH9" s="1"/>
  <c r="IK9"/>
  <c r="IO9" s="1"/>
  <c r="ID13"/>
  <c r="ID19" s="1"/>
  <c r="ID11"/>
  <c r="IH11"/>
  <c r="IK13"/>
  <c r="IO13"/>
  <c r="IO10"/>
  <c r="IK11"/>
  <c r="IO11" s="1"/>
  <c r="IR13"/>
  <c r="IQ19"/>
  <c r="IQ26" s="1"/>
  <c r="IQ31"/>
  <c r="IQ36" s="1"/>
  <c r="IQ38" s="1"/>
  <c r="IV10"/>
  <c r="IV11"/>
  <c r="IU15"/>
  <c r="IU16"/>
  <c r="IV16" s="1"/>
  <c r="IV17"/>
  <c r="IV21"/>
  <c r="IV23"/>
  <c r="IV28"/>
  <c r="IT19"/>
  <c r="IT26" s="1"/>
  <c r="IT31"/>
  <c r="IT36" s="1"/>
  <c r="IS19"/>
  <c r="IS26" s="1"/>
  <c r="IS31"/>
  <c r="IS36" s="1"/>
  <c r="IE10"/>
  <c r="IG10"/>
  <c r="IH10"/>
  <c r="IC13"/>
  <c r="IE13"/>
  <c r="IG13"/>
  <c r="IH14"/>
  <c r="IG15"/>
  <c r="IH15"/>
  <c r="IG16"/>
  <c r="IH16"/>
  <c r="IE17"/>
  <c r="IH17"/>
  <c r="IH21"/>
  <c r="IH28"/>
  <c r="ID26"/>
  <c r="ID31" s="1"/>
  <c r="IH23"/>
  <c r="IF19"/>
  <c r="IF26"/>
  <c r="IF31" s="1"/>
  <c r="IF36"/>
  <c r="IH8"/>
  <c r="AI75" i="27"/>
  <c r="AG75"/>
  <c r="AE75"/>
  <c r="G62"/>
  <c r="N62"/>
  <c r="U62"/>
  <c r="AB62"/>
  <c r="G63"/>
  <c r="G66" s="1"/>
  <c r="N63"/>
  <c r="U63"/>
  <c r="AB63"/>
  <c r="AI63"/>
  <c r="AI64"/>
  <c r="U65"/>
  <c r="AI65" s="1"/>
  <c r="U67"/>
  <c r="AI67" s="1"/>
  <c r="U69"/>
  <c r="AI69" s="1"/>
  <c r="U71"/>
  <c r="S62"/>
  <c r="Z62"/>
  <c r="AG62"/>
  <c r="S63"/>
  <c r="AG63" s="1"/>
  <c r="AG64"/>
  <c r="AG65"/>
  <c r="S67"/>
  <c r="AG67" s="1"/>
  <c r="AG69"/>
  <c r="AG71"/>
  <c r="C62"/>
  <c r="X62"/>
  <c r="X66"/>
  <c r="X68" s="1"/>
  <c r="X70" s="1"/>
  <c r="X72" s="1"/>
  <c r="C63"/>
  <c r="C66" s="1"/>
  <c r="C68" s="1"/>
  <c r="C70" s="1"/>
  <c r="C72" s="1"/>
  <c r="J63"/>
  <c r="Q63"/>
  <c r="X63"/>
  <c r="AE63"/>
  <c r="C64"/>
  <c r="J64"/>
  <c r="AE64" s="1"/>
  <c r="Q64"/>
  <c r="X64"/>
  <c r="C65"/>
  <c r="J65"/>
  <c r="Q65"/>
  <c r="X65"/>
  <c r="AE65"/>
  <c r="J67"/>
  <c r="X67"/>
  <c r="J69"/>
  <c r="Q69"/>
  <c r="X69"/>
  <c r="AE69"/>
  <c r="J71"/>
  <c r="X71"/>
  <c r="AB66"/>
  <c r="AB68"/>
  <c r="AB70" s="1"/>
  <c r="AB72" s="1"/>
  <c r="Z66"/>
  <c r="Z68"/>
  <c r="Z70" s="1"/>
  <c r="Z72"/>
  <c r="L66"/>
  <c r="L68"/>
  <c r="L70" s="1"/>
  <c r="L72" s="1"/>
  <c r="G68"/>
  <c r="G70" s="1"/>
  <c r="G72" s="1"/>
  <c r="E66"/>
  <c r="E68"/>
  <c r="E70" s="1"/>
  <c r="E72"/>
  <c r="AL63"/>
  <c r="AI61"/>
  <c r="AG61"/>
  <c r="J61"/>
  <c r="AE61" s="1"/>
  <c r="Q61"/>
  <c r="X61"/>
  <c r="U60"/>
  <c r="AI60" s="1"/>
  <c r="S60"/>
  <c r="AG60" s="1"/>
  <c r="J60"/>
  <c r="X60"/>
  <c r="AI23"/>
  <c r="AG23"/>
  <c r="AE23"/>
  <c r="G10"/>
  <c r="N10"/>
  <c r="AI10" s="1"/>
  <c r="U10"/>
  <c r="AB10"/>
  <c r="G11"/>
  <c r="C11" s="1"/>
  <c r="C14" s="1"/>
  <c r="C16" s="1"/>
  <c r="C18" s="1"/>
  <c r="C20" s="1"/>
  <c r="N11"/>
  <c r="U11"/>
  <c r="Q11" s="1"/>
  <c r="Q14" s="1"/>
  <c r="AB11"/>
  <c r="AI12"/>
  <c r="U13"/>
  <c r="AI13"/>
  <c r="U15"/>
  <c r="AI15"/>
  <c r="U17"/>
  <c r="AI17"/>
  <c r="U19"/>
  <c r="AI19"/>
  <c r="S10"/>
  <c r="Z10"/>
  <c r="AG10" s="1"/>
  <c r="AG14" s="1"/>
  <c r="S11"/>
  <c r="AG11" s="1"/>
  <c r="AG12"/>
  <c r="AG13"/>
  <c r="S15"/>
  <c r="AG15" s="1"/>
  <c r="AG17"/>
  <c r="AG19"/>
  <c r="C10"/>
  <c r="Q10"/>
  <c r="J11"/>
  <c r="X11"/>
  <c r="C12"/>
  <c r="J12"/>
  <c r="Q12"/>
  <c r="X12"/>
  <c r="AE12"/>
  <c r="C13"/>
  <c r="J13"/>
  <c r="AE13" s="1"/>
  <c r="Q13"/>
  <c r="X13"/>
  <c r="J15"/>
  <c r="X15"/>
  <c r="J17"/>
  <c r="AE17" s="1"/>
  <c r="Q17"/>
  <c r="X17"/>
  <c r="J19"/>
  <c r="AE19" s="1"/>
  <c r="Q19"/>
  <c r="X19"/>
  <c r="AB14"/>
  <c r="AB16" s="1"/>
  <c r="AB18" s="1"/>
  <c r="AB20" s="1"/>
  <c r="Z14"/>
  <c r="Z16" s="1"/>
  <c r="Z18" s="1"/>
  <c r="Z20" s="1"/>
  <c r="U14"/>
  <c r="U16" s="1"/>
  <c r="U18" s="1"/>
  <c r="U20" s="1"/>
  <c r="S14"/>
  <c r="S16" s="1"/>
  <c r="S18" s="1"/>
  <c r="S20" s="1"/>
  <c r="N14"/>
  <c r="N16" s="1"/>
  <c r="N18" s="1"/>
  <c r="N20" s="1"/>
  <c r="L14"/>
  <c r="L16" s="1"/>
  <c r="L18" s="1"/>
  <c r="L20" s="1"/>
  <c r="G14"/>
  <c r="G16" s="1"/>
  <c r="G18" s="1"/>
  <c r="G20" s="1"/>
  <c r="E14"/>
  <c r="E16" s="1"/>
  <c r="E18" s="1"/>
  <c r="E20" s="1"/>
  <c r="AI9"/>
  <c r="AG9"/>
  <c r="J9"/>
  <c r="Q9"/>
  <c r="X9"/>
  <c r="AE9" s="1"/>
  <c r="U8"/>
  <c r="AI8"/>
  <c r="S8"/>
  <c r="AG8"/>
  <c r="J8"/>
  <c r="X8"/>
  <c r="Q11" i="25"/>
  <c r="Q10"/>
  <c r="B74" s="1"/>
  <c r="B76" s="1"/>
  <c r="AB11"/>
  <c r="X11"/>
  <c r="AB10"/>
  <c r="J11"/>
  <c r="J10"/>
  <c r="U11"/>
  <c r="U10"/>
  <c r="N11"/>
  <c r="N10"/>
  <c r="E20"/>
  <c r="Z10"/>
  <c r="Z14"/>
  <c r="Z16" s="1"/>
  <c r="B75"/>
  <c r="C10"/>
  <c r="C11"/>
  <c r="C14" s="1"/>
  <c r="C16" s="1"/>
  <c r="C12"/>
  <c r="C13"/>
  <c r="C15"/>
  <c r="C17"/>
  <c r="C19"/>
  <c r="X10"/>
  <c r="X14" s="1"/>
  <c r="X16" s="1"/>
  <c r="X18" s="1"/>
  <c r="X20" s="1"/>
  <c r="X12"/>
  <c r="X13"/>
  <c r="X15"/>
  <c r="X17"/>
  <c r="X19"/>
  <c r="G23"/>
  <c r="C23" s="1"/>
  <c r="F23"/>
  <c r="B23" s="1"/>
  <c r="I11"/>
  <c r="I10"/>
  <c r="B19"/>
  <c r="B17"/>
  <c r="B15"/>
  <c r="W13"/>
  <c r="B13"/>
  <c r="B12"/>
  <c r="W11"/>
  <c r="B11" s="1"/>
  <c r="W10"/>
  <c r="B10" s="1"/>
  <c r="B9"/>
  <c r="B8"/>
  <c r="C8"/>
  <c r="C9"/>
  <c r="M23"/>
  <c r="M11"/>
  <c r="M10"/>
  <c r="G14"/>
  <c r="G16"/>
  <c r="C78" s="1"/>
  <c r="B78"/>
  <c r="D64"/>
  <c r="C64"/>
  <c r="B63"/>
  <c r="B64"/>
  <c r="B65"/>
  <c r="F14"/>
  <c r="F16"/>
  <c r="B69"/>
  <c r="X8"/>
  <c r="AA10"/>
  <c r="AA11"/>
  <c r="AA13"/>
  <c r="AA14"/>
  <c r="AA16" s="1"/>
  <c r="AA18" s="1"/>
  <c r="AA20" s="1"/>
  <c r="AB14"/>
  <c r="AB16" s="1"/>
  <c r="AB18" s="1"/>
  <c r="AB20" s="1"/>
  <c r="D14"/>
  <c r="D16" s="1"/>
  <c r="D18" s="1"/>
  <c r="D20" s="1"/>
  <c r="B71"/>
  <c r="G46"/>
  <c r="G49"/>
  <c r="G50" s="1"/>
  <c r="F44"/>
  <c r="B44" s="1"/>
  <c r="F45"/>
  <c r="F47"/>
  <c r="B47" s="1"/>
  <c r="B49" s="1"/>
  <c r="F48"/>
  <c r="B48" s="1"/>
  <c r="E46"/>
  <c r="E49"/>
  <c r="E50" s="1"/>
  <c r="C44"/>
  <c r="C45"/>
  <c r="C46"/>
  <c r="C50" s="1"/>
  <c r="C47"/>
  <c r="C48"/>
  <c r="C49"/>
  <c r="G35"/>
  <c r="F31"/>
  <c r="B31"/>
  <c r="F32"/>
  <c r="F33"/>
  <c r="B33"/>
  <c r="E35"/>
  <c r="D32"/>
  <c r="D35" s="1"/>
  <c r="C31"/>
  <c r="C35" s="1"/>
  <c r="C32"/>
  <c r="C33"/>
  <c r="B32"/>
  <c r="B34"/>
  <c r="BJ23"/>
  <c r="BH23"/>
  <c r="BF23"/>
  <c r="AH10"/>
  <c r="AO10"/>
  <c r="BJ10" s="1"/>
  <c r="AV10"/>
  <c r="AR10" s="1"/>
  <c r="AR14" s="1"/>
  <c r="AR16" s="1"/>
  <c r="AR18" s="1"/>
  <c r="BC10"/>
  <c r="AH11"/>
  <c r="AH14" s="1"/>
  <c r="AH16" s="1"/>
  <c r="AH18" s="1"/>
  <c r="AH20" s="1"/>
  <c r="AO11"/>
  <c r="AV11"/>
  <c r="BC11"/>
  <c r="BJ11"/>
  <c r="BJ12"/>
  <c r="AV13"/>
  <c r="BJ13" s="1"/>
  <c r="AV15"/>
  <c r="BJ15" s="1"/>
  <c r="AV17"/>
  <c r="BJ17" s="1"/>
  <c r="AV19"/>
  <c r="BJ19" s="1"/>
  <c r="AT10"/>
  <c r="AT14" s="1"/>
  <c r="AT16" s="1"/>
  <c r="AT18" s="1"/>
  <c r="AT20" s="1"/>
  <c r="BA10"/>
  <c r="BH10"/>
  <c r="BH14" s="1"/>
  <c r="BH16" s="1"/>
  <c r="BH18" s="1"/>
  <c r="BH20" s="1"/>
  <c r="AT11"/>
  <c r="BH11"/>
  <c r="BH12"/>
  <c r="BH13"/>
  <c r="AT15"/>
  <c r="BH15"/>
  <c r="BH17"/>
  <c r="BH19"/>
  <c r="AD10"/>
  <c r="AK10"/>
  <c r="AK14" s="1"/>
  <c r="AK16" s="1"/>
  <c r="AK18" s="1"/>
  <c r="AK20" s="1"/>
  <c r="AY10"/>
  <c r="AY14"/>
  <c r="AY16" s="1"/>
  <c r="AY18" s="1"/>
  <c r="AY20" s="1"/>
  <c r="AD11"/>
  <c r="AD14" s="1"/>
  <c r="AD16" s="1"/>
  <c r="AD18" s="1"/>
  <c r="AD20" s="1"/>
  <c r="AK11"/>
  <c r="AR11"/>
  <c r="AY11"/>
  <c r="BF11"/>
  <c r="AD12"/>
  <c r="AK12"/>
  <c r="BF12" s="1"/>
  <c r="AR12"/>
  <c r="AY12"/>
  <c r="AD13"/>
  <c r="AK13"/>
  <c r="AR13"/>
  <c r="AY13"/>
  <c r="BF13"/>
  <c r="AK15"/>
  <c r="AY15"/>
  <c r="AK17"/>
  <c r="AR17"/>
  <c r="AY17"/>
  <c r="BF17"/>
  <c r="AK19"/>
  <c r="AY19"/>
  <c r="BC14"/>
  <c r="BC16"/>
  <c r="BC18" s="1"/>
  <c r="BC20" s="1"/>
  <c r="BA14"/>
  <c r="BA16"/>
  <c r="BA18" s="1"/>
  <c r="BA20" s="1"/>
  <c r="AM14"/>
  <c r="AM16"/>
  <c r="AM18" s="1"/>
  <c r="AM20" s="1"/>
  <c r="AF14"/>
  <c r="AF16"/>
  <c r="AF18" s="1"/>
  <c r="AF20" s="1"/>
  <c r="Y10"/>
  <c r="Y11"/>
  <c r="Y14" s="1"/>
  <c r="Y16" s="1"/>
  <c r="Y18" s="1"/>
  <c r="Y20" s="1"/>
  <c r="Y12"/>
  <c r="Y13"/>
  <c r="Y15"/>
  <c r="Y17"/>
  <c r="Y19"/>
  <c r="BM11"/>
  <c r="BJ9"/>
  <c r="BH9"/>
  <c r="AK9"/>
  <c r="AR9"/>
  <c r="AY9"/>
  <c r="BF9" s="1"/>
  <c r="AV8"/>
  <c r="BJ8"/>
  <c r="AT8"/>
  <c r="BH8"/>
  <c r="AK8"/>
  <c r="AY8"/>
  <c r="E59" i="4"/>
  <c r="E72"/>
  <c r="B59"/>
  <c r="B72"/>
  <c r="A59"/>
  <c r="A72"/>
  <c r="B76"/>
  <c r="O41"/>
  <c r="FL45" i="21"/>
  <c r="FL46"/>
  <c r="FL47"/>
  <c r="FL48"/>
  <c r="FL49"/>
  <c r="FL50"/>
  <c r="FL51"/>
  <c r="FL52"/>
  <c r="FL53"/>
  <c r="FL54"/>
  <c r="FG28"/>
  <c r="FL28"/>
  <c r="FG29"/>
  <c r="FK29"/>
  <c r="FL29" s="1"/>
  <c r="FL30"/>
  <c r="FG31"/>
  <c r="FL31"/>
  <c r="FL32"/>
  <c r="FL33"/>
  <c r="FL34"/>
  <c r="FL35"/>
  <c r="FL38"/>
  <c r="FL39"/>
  <c r="FL41"/>
  <c r="FG24"/>
  <c r="FH24"/>
  <c r="FI24"/>
  <c r="FJ24"/>
  <c r="FL24"/>
  <c r="FL11"/>
  <c r="FL13"/>
  <c r="FL14" s="1"/>
  <c r="FL22" s="1"/>
  <c r="FL16"/>
  <c r="FL21" s="1"/>
  <c r="FL17"/>
  <c r="FL18"/>
  <c r="FL19"/>
  <c r="FL20"/>
  <c r="AB6"/>
  <c r="AB19"/>
  <c r="AB18"/>
  <c r="AB17"/>
  <c r="AB16"/>
  <c r="FG64"/>
  <c r="FG75" s="1"/>
  <c r="FH64"/>
  <c r="FL64"/>
  <c r="FG65"/>
  <c r="FH65"/>
  <c r="FG66"/>
  <c r="FH66"/>
  <c r="FL66" s="1"/>
  <c r="FG67"/>
  <c r="FH67"/>
  <c r="FL67"/>
  <c r="FG68"/>
  <c r="FH68"/>
  <c r="FL68" s="1"/>
  <c r="FG69"/>
  <c r="FH69"/>
  <c r="FL69"/>
  <c r="FG70"/>
  <c r="FH70"/>
  <c r="FL70" s="1"/>
  <c r="FG71"/>
  <c r="FH71"/>
  <c r="FL71"/>
  <c r="FG74"/>
  <c r="FH74"/>
  <c r="FL74" s="1"/>
  <c r="FJ75"/>
  <c r="FI75"/>
  <c r="FH21"/>
  <c r="FH56" s="1"/>
  <c r="FH54"/>
  <c r="FH42"/>
  <c r="FG21"/>
  <c r="FG56" s="1"/>
  <c r="FG54"/>
  <c r="FG42"/>
  <c r="FJ54"/>
  <c r="FI54"/>
  <c r="FJ42"/>
  <c r="FI42"/>
  <c r="FJ21"/>
  <c r="FJ22" s="1"/>
  <c r="FI21"/>
  <c r="FI22" s="1"/>
  <c r="FH22"/>
  <c r="FJ14"/>
  <c r="FI14"/>
  <c r="FH14"/>
  <c r="FG14"/>
  <c r="FL4"/>
  <c r="FL7" s="1"/>
  <c r="FL5"/>
  <c r="FL6"/>
  <c r="FJ7"/>
  <c r="FI7"/>
  <c r="FH7"/>
  <c r="FG7"/>
  <c r="AB53"/>
  <c r="AB52"/>
  <c r="AB51"/>
  <c r="AB50"/>
  <c r="AB49"/>
  <c r="AB48"/>
  <c r="AB47"/>
  <c r="AB46"/>
  <c r="AB45"/>
  <c r="AB54" s="1"/>
  <c r="AB41"/>
  <c r="AB39"/>
  <c r="AB33"/>
  <c r="AB32"/>
  <c r="AB30"/>
  <c r="FN28"/>
  <c r="FN64" s="1"/>
  <c r="FO64"/>
  <c r="FO75" s="1"/>
  <c r="FN29"/>
  <c r="FN65"/>
  <c r="FO65"/>
  <c r="FR29"/>
  <c r="FR65" s="1"/>
  <c r="FR75" s="1"/>
  <c r="FN31"/>
  <c r="FN66"/>
  <c r="FS66" s="1"/>
  <c r="FO66"/>
  <c r="FN67"/>
  <c r="FO67"/>
  <c r="FS67" s="1"/>
  <c r="FN68"/>
  <c r="FO68"/>
  <c r="FS68"/>
  <c r="FN69"/>
  <c r="FO69"/>
  <c r="FS69" s="1"/>
  <c r="FN70"/>
  <c r="FO70"/>
  <c r="FS70"/>
  <c r="FN71"/>
  <c r="FO71"/>
  <c r="FS71" s="1"/>
  <c r="FN74"/>
  <c r="FO74"/>
  <c r="FS74"/>
  <c r="FQ75"/>
  <c r="FP75"/>
  <c r="FO21"/>
  <c r="FO54"/>
  <c r="FO42"/>
  <c r="FO56" s="1"/>
  <c r="FN21"/>
  <c r="FN54"/>
  <c r="FN42"/>
  <c r="FN56" s="1"/>
  <c r="FS45"/>
  <c r="FS46"/>
  <c r="FS47"/>
  <c r="FS54" s="1"/>
  <c r="FS48"/>
  <c r="FS49"/>
  <c r="FS50"/>
  <c r="FS51"/>
  <c r="FS52"/>
  <c r="FS53"/>
  <c r="FQ54"/>
  <c r="FP54"/>
  <c r="FS30"/>
  <c r="FS31"/>
  <c r="FS32"/>
  <c r="FS33"/>
  <c r="FS34"/>
  <c r="FS35"/>
  <c r="FS38"/>
  <c r="FS39"/>
  <c r="FS41"/>
  <c r="FQ42"/>
  <c r="FP42"/>
  <c r="FN24"/>
  <c r="FO24"/>
  <c r="FS24" s="1"/>
  <c r="FP24"/>
  <c r="FQ24"/>
  <c r="FS11"/>
  <c r="FS13"/>
  <c r="FS14"/>
  <c r="FS16"/>
  <c r="FS21" s="1"/>
  <c r="FS17"/>
  <c r="FS18"/>
  <c r="FS19"/>
  <c r="FS20"/>
  <c r="FQ21"/>
  <c r="FQ22" s="1"/>
  <c r="FP21"/>
  <c r="FP22" s="1"/>
  <c r="FO22"/>
  <c r="FQ14"/>
  <c r="FP14"/>
  <c r="FO14"/>
  <c r="FN14"/>
  <c r="FS4"/>
  <c r="FS5"/>
  <c r="FS6"/>
  <c r="FS7" s="1"/>
  <c r="FQ7"/>
  <c r="FP7"/>
  <c r="FO7"/>
  <c r="FN7"/>
  <c r="HB11"/>
  <c r="GX13"/>
  <c r="HB13"/>
  <c r="HB14" s="1"/>
  <c r="HB16"/>
  <c r="HB17"/>
  <c r="HB18"/>
  <c r="HB21" s="1"/>
  <c r="HB19"/>
  <c r="HB20"/>
  <c r="GU11"/>
  <c r="GU13"/>
  <c r="GU14" s="1"/>
  <c r="GU16"/>
  <c r="GU17"/>
  <c r="GU18"/>
  <c r="GP41"/>
  <c r="GP19"/>
  <c r="GU20"/>
  <c r="GN11"/>
  <c r="GN13"/>
  <c r="GN14"/>
  <c r="GJ16"/>
  <c r="GN16"/>
  <c r="GN17"/>
  <c r="GN18"/>
  <c r="GI41"/>
  <c r="GI19" s="1"/>
  <c r="GN20"/>
  <c r="GB11"/>
  <c r="GG11"/>
  <c r="GG14" s="1"/>
  <c r="GG13"/>
  <c r="GG16"/>
  <c r="GG17"/>
  <c r="GG18"/>
  <c r="GG21" s="1"/>
  <c r="GG19"/>
  <c r="GG20"/>
  <c r="FZ11"/>
  <c r="FZ13"/>
  <c r="FZ14" s="1"/>
  <c r="FZ16"/>
  <c r="FZ21" s="1"/>
  <c r="FZ17"/>
  <c r="FZ18"/>
  <c r="FZ19"/>
  <c r="FZ20"/>
  <c r="FU28"/>
  <c r="FU64"/>
  <c r="FZ64" s="1"/>
  <c r="FV64"/>
  <c r="FU29"/>
  <c r="FU65" s="1"/>
  <c r="FV65"/>
  <c r="FY29"/>
  <c r="FY65"/>
  <c r="FU31"/>
  <c r="FU66"/>
  <c r="FZ66" s="1"/>
  <c r="FV66"/>
  <c r="FU67"/>
  <c r="FV67"/>
  <c r="FZ67"/>
  <c r="FU68"/>
  <c r="FV68"/>
  <c r="FZ68" s="1"/>
  <c r="FU69"/>
  <c r="FV69"/>
  <c r="FZ69"/>
  <c r="FU70"/>
  <c r="FV70"/>
  <c r="FZ70" s="1"/>
  <c r="FU71"/>
  <c r="FV71"/>
  <c r="FZ71"/>
  <c r="FU74"/>
  <c r="FV74"/>
  <c r="FZ74" s="1"/>
  <c r="FX75"/>
  <c r="FW75"/>
  <c r="FV21"/>
  <c r="FV56" s="1"/>
  <c r="FV54"/>
  <c r="FV42"/>
  <c r="FU21"/>
  <c r="FU22" s="1"/>
  <c r="FU54"/>
  <c r="FZ45"/>
  <c r="FZ54" s="1"/>
  <c r="FZ46"/>
  <c r="FZ47"/>
  <c r="FZ48"/>
  <c r="FZ49"/>
  <c r="FZ50"/>
  <c r="FZ51"/>
  <c r="FZ52"/>
  <c r="FZ53"/>
  <c r="FX54"/>
  <c r="FW54"/>
  <c r="FZ30"/>
  <c r="FZ31"/>
  <c r="FZ32"/>
  <c r="FZ33"/>
  <c r="FZ34"/>
  <c r="FZ35"/>
  <c r="FZ38"/>
  <c r="FZ39"/>
  <c r="FZ41"/>
  <c r="FX42"/>
  <c r="FW42"/>
  <c r="FU24"/>
  <c r="FV24"/>
  <c r="FZ24" s="1"/>
  <c r="FW24"/>
  <c r="FX24"/>
  <c r="FX21"/>
  <c r="FX22" s="1"/>
  <c r="FW21"/>
  <c r="FW22" s="1"/>
  <c r="FV22"/>
  <c r="FX14"/>
  <c r="FW14"/>
  <c r="FV14"/>
  <c r="FU14"/>
  <c r="FZ4"/>
  <c r="FZ7" s="1"/>
  <c r="FZ5"/>
  <c r="FZ6"/>
  <c r="FX7"/>
  <c r="FW7"/>
  <c r="FV7"/>
  <c r="FU7"/>
  <c r="GB28"/>
  <c r="GB64" s="1"/>
  <c r="GC64"/>
  <c r="GB29"/>
  <c r="GB65"/>
  <c r="GC65"/>
  <c r="GF29"/>
  <c r="GF65" s="1"/>
  <c r="GB31"/>
  <c r="GB66" s="1"/>
  <c r="GG66" s="1"/>
  <c r="GC66"/>
  <c r="GB67"/>
  <c r="GC67"/>
  <c r="GG67"/>
  <c r="GB68"/>
  <c r="GC68"/>
  <c r="GG68" s="1"/>
  <c r="GB69"/>
  <c r="GC69"/>
  <c r="GG69"/>
  <c r="GB70"/>
  <c r="GC70"/>
  <c r="GG70" s="1"/>
  <c r="GB71"/>
  <c r="GC71"/>
  <c r="GG71"/>
  <c r="GC74"/>
  <c r="GE75"/>
  <c r="GD75"/>
  <c r="GC21"/>
  <c r="GC56" s="1"/>
  <c r="GC54"/>
  <c r="GC42"/>
  <c r="GB21"/>
  <c r="GB22" s="1"/>
  <c r="GB51"/>
  <c r="GB53"/>
  <c r="GB54" s="1"/>
  <c r="GG45"/>
  <c r="GG46"/>
  <c r="GG47"/>
  <c r="GG48"/>
  <c r="GG49"/>
  <c r="GG50"/>
  <c r="GG51"/>
  <c r="GG52"/>
  <c r="GE54"/>
  <c r="GD54"/>
  <c r="GG28"/>
  <c r="GG30"/>
  <c r="GG31"/>
  <c r="GG32"/>
  <c r="GG33"/>
  <c r="GG34"/>
  <c r="GG35"/>
  <c r="GG38"/>
  <c r="GG39"/>
  <c r="GE42"/>
  <c r="GD42"/>
  <c r="GB24"/>
  <c r="GG24" s="1"/>
  <c r="GC24"/>
  <c r="GD24"/>
  <c r="GE24"/>
  <c r="GE21"/>
  <c r="GE22"/>
  <c r="GD21"/>
  <c r="GD22"/>
  <c r="GE14"/>
  <c r="GD14"/>
  <c r="GC14"/>
  <c r="GB14"/>
  <c r="GG4"/>
  <c r="GG7" s="1"/>
  <c r="GG5"/>
  <c r="GG6"/>
  <c r="GE7"/>
  <c r="GD7"/>
  <c r="GC7"/>
  <c r="GB7"/>
  <c r="GI28"/>
  <c r="GN28" s="1"/>
  <c r="GN42" s="1"/>
  <c r="AB28"/>
  <c r="GJ45"/>
  <c r="GJ54" s="1"/>
  <c r="GJ64"/>
  <c r="GJ75" s="1"/>
  <c r="GI29"/>
  <c r="GI65" s="1"/>
  <c r="GJ65"/>
  <c r="GM29"/>
  <c r="GM65"/>
  <c r="GI31"/>
  <c r="GI66"/>
  <c r="GJ66"/>
  <c r="GI67"/>
  <c r="GJ67"/>
  <c r="GN67"/>
  <c r="GI68"/>
  <c r="GJ68"/>
  <c r="GN68" s="1"/>
  <c r="GI69"/>
  <c r="GJ69"/>
  <c r="GN69"/>
  <c r="GI70"/>
  <c r="GJ70"/>
  <c r="GN70" s="1"/>
  <c r="GI71"/>
  <c r="GJ71"/>
  <c r="GN71"/>
  <c r="GJ74"/>
  <c r="GL75"/>
  <c r="GK75"/>
  <c r="GJ21"/>
  <c r="GJ56" s="1"/>
  <c r="GJ42"/>
  <c r="GI51"/>
  <c r="GI53"/>
  <c r="GI54"/>
  <c r="GN45"/>
  <c r="GN54" s="1"/>
  <c r="GN46"/>
  <c r="GN47"/>
  <c r="GN48"/>
  <c r="GN49"/>
  <c r="GN50"/>
  <c r="GN51"/>
  <c r="GN52"/>
  <c r="GN53"/>
  <c r="GL54"/>
  <c r="GK54"/>
  <c r="GN31"/>
  <c r="GN32"/>
  <c r="GN33"/>
  <c r="GN34"/>
  <c r="GN35"/>
  <c r="GN38"/>
  <c r="GN41"/>
  <c r="GL42"/>
  <c r="GK42"/>
  <c r="GI24"/>
  <c r="GJ24"/>
  <c r="GN24" s="1"/>
  <c r="GK24"/>
  <c r="GL24"/>
  <c r="GL21"/>
  <c r="GL22" s="1"/>
  <c r="GK21"/>
  <c r="GK22" s="1"/>
  <c r="GL14"/>
  <c r="GK14"/>
  <c r="GJ14"/>
  <c r="GI14"/>
  <c r="GN4"/>
  <c r="GJ5"/>
  <c r="GN5" s="1"/>
  <c r="GN6"/>
  <c r="GL7"/>
  <c r="GK7"/>
  <c r="GI7"/>
  <c r="GP28"/>
  <c r="GP64"/>
  <c r="GQ64"/>
  <c r="GU64"/>
  <c r="GP29"/>
  <c r="GP65"/>
  <c r="GU65" s="1"/>
  <c r="GQ65"/>
  <c r="GP66"/>
  <c r="GQ66"/>
  <c r="GU66" s="1"/>
  <c r="GP67"/>
  <c r="GQ67"/>
  <c r="GU67"/>
  <c r="GP68"/>
  <c r="GQ68"/>
  <c r="GU68" s="1"/>
  <c r="GP69"/>
  <c r="GQ69"/>
  <c r="GU69"/>
  <c r="GP70"/>
  <c r="GQ70"/>
  <c r="GU70" s="1"/>
  <c r="GP71"/>
  <c r="GQ71"/>
  <c r="GU71"/>
  <c r="GP74"/>
  <c r="GQ74"/>
  <c r="GU74" s="1"/>
  <c r="GT75"/>
  <c r="GS75"/>
  <c r="GR75"/>
  <c r="GQ21"/>
  <c r="GQ54"/>
  <c r="GQ42"/>
  <c r="GQ56"/>
  <c r="GP51"/>
  <c r="GU51"/>
  <c r="GP53"/>
  <c r="GP54"/>
  <c r="GU45"/>
  <c r="GU46"/>
  <c r="GU54" s="1"/>
  <c r="GU47"/>
  <c r="GU48"/>
  <c r="GU49"/>
  <c r="GU50"/>
  <c r="GU52"/>
  <c r="GU53"/>
  <c r="GS54"/>
  <c r="GR54"/>
  <c r="GU28"/>
  <c r="GU31"/>
  <c r="GU32"/>
  <c r="GU33"/>
  <c r="GU34"/>
  <c r="GU35"/>
  <c r="GU38"/>
  <c r="GU41"/>
  <c r="GS42"/>
  <c r="GR42"/>
  <c r="GP24"/>
  <c r="GQ24"/>
  <c r="GR24"/>
  <c r="GS24"/>
  <c r="GU24"/>
  <c r="GS21"/>
  <c r="GS22"/>
  <c r="GR21"/>
  <c r="GR22"/>
  <c r="GQ22"/>
  <c r="GS14"/>
  <c r="GR14"/>
  <c r="GQ14"/>
  <c r="GP14"/>
  <c r="GU4"/>
  <c r="GU7" s="1"/>
  <c r="GU5"/>
  <c r="GU6"/>
  <c r="GS7"/>
  <c r="GR7"/>
  <c r="GQ7"/>
  <c r="GP7"/>
  <c r="GW64"/>
  <c r="GX64"/>
  <c r="HB64"/>
  <c r="GW65"/>
  <c r="GX65"/>
  <c r="HB65" s="1"/>
  <c r="GW66"/>
  <c r="GX66"/>
  <c r="HB66"/>
  <c r="GW67"/>
  <c r="GX67"/>
  <c r="HB67" s="1"/>
  <c r="GW68"/>
  <c r="GX68"/>
  <c r="HB68"/>
  <c r="GW69"/>
  <c r="GX69"/>
  <c r="HB69" s="1"/>
  <c r="GW70"/>
  <c r="GX70"/>
  <c r="HB70"/>
  <c r="GW71"/>
  <c r="GX71"/>
  <c r="HB71" s="1"/>
  <c r="GW74"/>
  <c r="GX74"/>
  <c r="HB74"/>
  <c r="HA75"/>
  <c r="GZ75"/>
  <c r="GY75"/>
  <c r="GW75"/>
  <c r="GX21"/>
  <c r="GX54"/>
  <c r="GX42"/>
  <c r="GX56"/>
  <c r="GW21"/>
  <c r="GW51"/>
  <c r="HB51" s="1"/>
  <c r="GW53"/>
  <c r="HB53" s="1"/>
  <c r="GW42"/>
  <c r="HB45"/>
  <c r="HB46"/>
  <c r="HB47"/>
  <c r="HB48"/>
  <c r="HB49"/>
  <c r="HB50"/>
  <c r="HB52"/>
  <c r="GZ54"/>
  <c r="GY54"/>
  <c r="HB28"/>
  <c r="HB42" s="1"/>
  <c r="HB29"/>
  <c r="HB31"/>
  <c r="HB32"/>
  <c r="HB33"/>
  <c r="HB34"/>
  <c r="HB35"/>
  <c r="HB38"/>
  <c r="HB41"/>
  <c r="GZ42"/>
  <c r="GY42"/>
  <c r="GW24"/>
  <c r="GX24"/>
  <c r="GY24"/>
  <c r="GZ24"/>
  <c r="HB24"/>
  <c r="GZ21"/>
  <c r="GZ22"/>
  <c r="GY21"/>
  <c r="GY22"/>
  <c r="GX22"/>
  <c r="GW22"/>
  <c r="GZ14"/>
  <c r="GY14"/>
  <c r="GX14"/>
  <c r="GW14"/>
  <c r="HB4"/>
  <c r="HB5"/>
  <c r="HB6"/>
  <c r="HB7"/>
  <c r="GZ7"/>
  <c r="GY7"/>
  <c r="GX7"/>
  <c r="GW7"/>
  <c r="Y54"/>
  <c r="Z54"/>
  <c r="Y42"/>
  <c r="Z42"/>
  <c r="Y75"/>
  <c r="Z75"/>
  <c r="X65"/>
  <c r="W64"/>
  <c r="X64"/>
  <c r="AB64" s="1"/>
  <c r="W67"/>
  <c r="X67"/>
  <c r="AB67"/>
  <c r="W68"/>
  <c r="X68"/>
  <c r="AB68" s="1"/>
  <c r="X70"/>
  <c r="X71"/>
  <c r="X74"/>
  <c r="AB74" s="1"/>
  <c r="X54"/>
  <c r="W54"/>
  <c r="AO36" i="14"/>
  <c r="AO50" s="1"/>
  <c r="AO37"/>
  <c r="AO51" s="1"/>
  <c r="AO38"/>
  <c r="AO52" s="1"/>
  <c r="AO11"/>
  <c r="AO39" s="1"/>
  <c r="AO58"/>
  <c r="AN36"/>
  <c r="AN50"/>
  <c r="AN37"/>
  <c r="AN51"/>
  <c r="AN38"/>
  <c r="AN52"/>
  <c r="AN39"/>
  <c r="AN53"/>
  <c r="AN58"/>
  <c r="AM36"/>
  <c r="AM50" s="1"/>
  <c r="AM37"/>
  <c r="AM51" s="1"/>
  <c r="AM38"/>
  <c r="AM52" s="1"/>
  <c r="AM39"/>
  <c r="AM53" s="1"/>
  <c r="AM58"/>
  <c r="AL36"/>
  <c r="AL50"/>
  <c r="AL37"/>
  <c r="AL51"/>
  <c r="AL38"/>
  <c r="AL52"/>
  <c r="AL39"/>
  <c r="AL53"/>
  <c r="AL58"/>
  <c r="AO34"/>
  <c r="AO46" s="1"/>
  <c r="AO48" s="1"/>
  <c r="AO35"/>
  <c r="AO47"/>
  <c r="AO59"/>
  <c r="AN34"/>
  <c r="AN46" s="1"/>
  <c r="AN48" s="1"/>
  <c r="AN35"/>
  <c r="AN47"/>
  <c r="AN59"/>
  <c r="AM34"/>
  <c r="AM46" s="1"/>
  <c r="AM48" s="1"/>
  <c r="AM35"/>
  <c r="AM47"/>
  <c r="AM59"/>
  <c r="AL34"/>
  <c r="AL46" s="1"/>
  <c r="AL48" s="1"/>
  <c r="AL35"/>
  <c r="AL47"/>
  <c r="AL59"/>
  <c r="AN40"/>
  <c r="AN44" s="1"/>
  <c r="AM40"/>
  <c r="AM44" s="1"/>
  <c r="AL40"/>
  <c r="AL44" s="1"/>
  <c r="AO31"/>
  <c r="AN31"/>
  <c r="AM31"/>
  <c r="AL31"/>
  <c r="AO12"/>
  <c r="AN12"/>
  <c r="AM12"/>
  <c r="AL12"/>
  <c r="AT36"/>
  <c r="AT50" s="1"/>
  <c r="AT37"/>
  <c r="AT51" s="1"/>
  <c r="AT38"/>
  <c r="AT52" s="1"/>
  <c r="AT30"/>
  <c r="AT39" s="1"/>
  <c r="AT53" s="1"/>
  <c r="AT58"/>
  <c r="AS36"/>
  <c r="AS50" s="1"/>
  <c r="AS54" s="1"/>
  <c r="AS37"/>
  <c r="AS51"/>
  <c r="AS38"/>
  <c r="AS52"/>
  <c r="AS39"/>
  <c r="AS53"/>
  <c r="AS58"/>
  <c r="AR36"/>
  <c r="AR50" s="1"/>
  <c r="AR54" s="1"/>
  <c r="AR37"/>
  <c r="AR51"/>
  <c r="AR38"/>
  <c r="AR52"/>
  <c r="AR39"/>
  <c r="AR53"/>
  <c r="AR58"/>
  <c r="AQ36"/>
  <c r="AQ50" s="1"/>
  <c r="AQ37"/>
  <c r="AQ51" s="1"/>
  <c r="AQ38"/>
  <c r="AQ52" s="1"/>
  <c r="AQ30"/>
  <c r="AQ39" s="1"/>
  <c r="AQ53" s="1"/>
  <c r="AQ58"/>
  <c r="AQ70"/>
  <c r="AR70" s="1"/>
  <c r="AS70" s="1"/>
  <c r="AT70" s="1"/>
  <c r="AT34"/>
  <c r="AT46" s="1"/>
  <c r="AT48" s="1"/>
  <c r="AT35"/>
  <c r="AT47"/>
  <c r="AT59"/>
  <c r="AS34"/>
  <c r="AS46"/>
  <c r="AS35"/>
  <c r="AS47" s="1"/>
  <c r="AS59"/>
  <c r="AU59" s="1"/>
  <c r="AR34"/>
  <c r="AR46"/>
  <c r="AR35"/>
  <c r="AR47" s="1"/>
  <c r="AR59"/>
  <c r="AQ34"/>
  <c r="AQ46"/>
  <c r="AQ35"/>
  <c r="AQ47" s="1"/>
  <c r="AQ59"/>
  <c r="AQ69"/>
  <c r="AR69"/>
  <c r="AS69" s="1"/>
  <c r="AT21"/>
  <c r="AS21"/>
  <c r="AU21"/>
  <c r="B31"/>
  <c r="B12"/>
  <c r="AY21"/>
  <c r="AZ21"/>
  <c r="AY36"/>
  <c r="AY50"/>
  <c r="AY54" s="1"/>
  <c r="AY37"/>
  <c r="AY51"/>
  <c r="AY38"/>
  <c r="AY52"/>
  <c r="AY39"/>
  <c r="AY53"/>
  <c r="AY58"/>
  <c r="AX36"/>
  <c r="AX50" s="1"/>
  <c r="AX37"/>
  <c r="AX51" s="1"/>
  <c r="AX38"/>
  <c r="AX52" s="1"/>
  <c r="AX39"/>
  <c r="AX53" s="1"/>
  <c r="AW36"/>
  <c r="AW50" s="1"/>
  <c r="AW54" s="1"/>
  <c r="AW37"/>
  <c r="AW51"/>
  <c r="AW38"/>
  <c r="AW52"/>
  <c r="AW39"/>
  <c r="AW53"/>
  <c r="AW58"/>
  <c r="AV36"/>
  <c r="AV50" s="1"/>
  <c r="AV37"/>
  <c r="AV51" s="1"/>
  <c r="AV38"/>
  <c r="AV52" s="1"/>
  <c r="AV39"/>
  <c r="AV53" s="1"/>
  <c r="AV58"/>
  <c r="AY34"/>
  <c r="AY46"/>
  <c r="AY48" s="1"/>
  <c r="AY56" s="1"/>
  <c r="AY35"/>
  <c r="AY47" s="1"/>
  <c r="AY59"/>
  <c r="AX34"/>
  <c r="AX46"/>
  <c r="AX48" s="1"/>
  <c r="AX35"/>
  <c r="AX47" s="1"/>
  <c r="AW34"/>
  <c r="AW46" s="1"/>
  <c r="AW48" s="1"/>
  <c r="AW56" s="1"/>
  <c r="AW35"/>
  <c r="AW47" s="1"/>
  <c r="AV34"/>
  <c r="AV46" s="1"/>
  <c r="AV48" s="1"/>
  <c r="AV35"/>
  <c r="AV47"/>
  <c r="AV59"/>
  <c r="AY12"/>
  <c r="AT12"/>
  <c r="AY31"/>
  <c r="AX31"/>
  <c r="AS31"/>
  <c r="AX21"/>
  <c r="AS12"/>
  <c r="AX12"/>
  <c r="AW31"/>
  <c r="AR31"/>
  <c r="AQ21"/>
  <c r="AR21"/>
  <c r="AW21"/>
  <c r="AW12"/>
  <c r="AR12"/>
  <c r="AV40"/>
  <c r="AV44" s="1"/>
  <c r="AV31"/>
  <c r="AV21"/>
  <c r="AV12"/>
  <c r="AQ12"/>
  <c r="GP75" i="21"/>
  <c r="AL54" i="14"/>
  <c r="AL66" s="1"/>
  <c r="AL74" s="1"/>
  <c r="AN54"/>
  <c r="HB36" i="20"/>
  <c r="HF33"/>
  <c r="GX75" i="21"/>
  <c r="GU29"/>
  <c r="GU42"/>
  <c r="GP42"/>
  <c r="GQ75"/>
  <c r="GN29"/>
  <c r="FZ29"/>
  <c r="FZ28"/>
  <c r="FZ42"/>
  <c r="FN22"/>
  <c r="FH75"/>
  <c r="F18" i="25"/>
  <c r="F20" s="1"/>
  <c r="D69" s="1"/>
  <c r="D71" s="1"/>
  <c r="C69"/>
  <c r="C71" s="1"/>
  <c r="G18"/>
  <c r="G20" s="1"/>
  <c r="D78" s="1"/>
  <c r="A76" i="4"/>
  <c r="AR8" i="25"/>
  <c r="BF8" s="1"/>
  <c r="AR15"/>
  <c r="BF15" s="1"/>
  <c r="B45"/>
  <c r="Q8" i="27"/>
  <c r="AE8"/>
  <c r="X10"/>
  <c r="HI19" i="20"/>
  <c r="HI26"/>
  <c r="HI31" s="1"/>
  <c r="HL33" s="1"/>
  <c r="A80" i="8"/>
  <c r="FE54" i="21"/>
  <c r="FA56"/>
  <c r="AI48" i="14"/>
  <c r="AJ54"/>
  <c r="AE48"/>
  <c r="AE56" s="1"/>
  <c r="EZ22" i="21"/>
  <c r="ET33" i="20"/>
  <c r="EU33" s="1"/>
  <c r="EJ36"/>
  <c r="DC75" i="21"/>
  <c r="CP75"/>
  <c r="V48" i="14"/>
  <c r="W54"/>
  <c r="X54"/>
  <c r="FY19" i="20"/>
  <c r="FY26"/>
  <c r="FY31" s="1"/>
  <c r="FY36" s="1"/>
  <c r="FR19"/>
  <c r="FR26"/>
  <c r="FR31" s="1"/>
  <c r="FR36" s="1"/>
  <c r="EX16" i="21"/>
  <c r="EX21" s="1"/>
  <c r="EX22" s="1"/>
  <c r="FK19" i="20"/>
  <c r="FK26" s="1"/>
  <c r="FK31" s="1"/>
  <c r="FK36" s="1"/>
  <c r="EF75" i="21"/>
  <c r="AD40" i="14"/>
  <c r="AD44"/>
  <c r="DY22" i="21"/>
  <c r="EC29"/>
  <c r="DX42"/>
  <c r="FA19" i="20"/>
  <c r="FA26" s="1"/>
  <c r="FA31" s="1"/>
  <c r="DO29" i="21"/>
  <c r="DO42" s="1"/>
  <c r="DK75"/>
  <c r="DH31"/>
  <c r="DH29"/>
  <c r="DH42" s="1"/>
  <c r="DC42"/>
  <c r="DC56" s="1"/>
  <c r="EF19" i="20"/>
  <c r="EF26" s="1"/>
  <c r="EF31" s="1"/>
  <c r="CV24" i="21"/>
  <c r="DA24" s="1"/>
  <c r="DA34"/>
  <c r="DV19" i="20"/>
  <c r="DV26" s="1"/>
  <c r="DV31" s="1"/>
  <c r="W48" i="14"/>
  <c r="DJ36" i="20"/>
  <c r="CO42" i="21"/>
  <c r="CO56"/>
  <c r="CO69"/>
  <c r="CT69"/>
  <c r="CH24"/>
  <c r="CM24" s="1"/>
  <c r="CM31"/>
  <c r="CM42" s="1"/>
  <c r="CH42"/>
  <c r="CI75"/>
  <c r="CB22"/>
  <c r="BT24"/>
  <c r="BY24" s="1"/>
  <c r="BT42"/>
  <c r="Q54" i="14"/>
  <c r="Q66" s="1"/>
  <c r="Q74" s="1"/>
  <c r="S53"/>
  <c r="S54" s="1"/>
  <c r="CS36" i="20"/>
  <c r="CO36"/>
  <c r="CH33"/>
  <c r="CH36" s="1"/>
  <c r="CE36"/>
  <c r="CI33"/>
  <c r="CJ33" s="1"/>
  <c r="CF36"/>
  <c r="CP19"/>
  <c r="CP26" s="1"/>
  <c r="CP31" s="1"/>
  <c r="S56" i="14"/>
  <c r="S60" s="1"/>
  <c r="W56"/>
  <c r="W60" s="1"/>
  <c r="X56"/>
  <c r="X60" s="1"/>
  <c r="AC56"/>
  <c r="AC60" s="1"/>
  <c r="AI56"/>
  <c r="AI60" s="1"/>
  <c r="X14" i="27"/>
  <c r="X16" s="1"/>
  <c r="X18" s="1"/>
  <c r="X20" s="1"/>
  <c r="Y56" i="14"/>
  <c r="Y60" s="1"/>
  <c r="V74"/>
  <c r="V65"/>
  <c r="V56"/>
  <c r="V60" s="1"/>
  <c r="AE60"/>
  <c r="HI36" i="20"/>
  <c r="AW60" i="14"/>
  <c r="W66"/>
  <c r="W74" s="1"/>
  <c r="AE11" i="27"/>
  <c r="AY60" i="14"/>
  <c r="V73"/>
  <c r="V75"/>
  <c r="V67"/>
  <c r="X66"/>
  <c r="W65"/>
  <c r="Y66"/>
  <c r="Z66"/>
  <c r="Z74" s="1"/>
  <c r="U26" i="20"/>
  <c r="U31" s="1"/>
  <c r="U36" s="1"/>
  <c r="I49" i="25"/>
  <c r="F46"/>
  <c r="C19" i="18"/>
  <c r="BR19" i="20"/>
  <c r="BR26" s="1"/>
  <c r="BR31"/>
  <c r="EX29" i="21"/>
  <c r="ES42"/>
  <c r="EM22"/>
  <c r="EE22"/>
  <c r="DJ22"/>
  <c r="AY66"/>
  <c r="BD66"/>
  <c r="AW54"/>
  <c r="AR22"/>
  <c r="AW29"/>
  <c r="AW42" s="1"/>
  <c r="AW34"/>
  <c r="AS42"/>
  <c r="AS56" s="1"/>
  <c r="AW64"/>
  <c r="AR65"/>
  <c r="AW38"/>
  <c r="DQ75"/>
  <c r="BK69"/>
  <c r="FY75"/>
  <c r="BD65"/>
  <c r="BC75"/>
  <c r="FV75"/>
  <c r="EX45"/>
  <c r="EX54"/>
  <c r="EQ64"/>
  <c r="EJ29"/>
  <c r="EJ42"/>
  <c r="EE42"/>
  <c r="EJ64"/>
  <c r="EC38"/>
  <c r="EC42"/>
  <c r="EC64"/>
  <c r="AR66"/>
  <c r="GG53"/>
  <c r="GC75"/>
  <c r="AP7"/>
  <c r="AP14"/>
  <c r="AP21"/>
  <c r="AK42"/>
  <c r="AP54"/>
  <c r="AP64"/>
  <c r="AK56"/>
  <c r="AK22"/>
  <c r="AP31"/>
  <c r="AL42"/>
  <c r="AL56"/>
  <c r="AK65"/>
  <c r="AP29"/>
  <c r="AP38"/>
  <c r="M60" i="14"/>
  <c r="O56"/>
  <c r="O60"/>
  <c r="L65"/>
  <c r="L56"/>
  <c r="L60" s="1"/>
  <c r="N56"/>
  <c r="N60" s="1"/>
  <c r="L74"/>
  <c r="M40"/>
  <c r="M44" s="1"/>
  <c r="O40"/>
  <c r="O44" s="1"/>
  <c r="L40"/>
  <c r="L44" s="1"/>
  <c r="N40"/>
  <c r="N44" s="1"/>
  <c r="AP22" i="21"/>
  <c r="L73" i="14"/>
  <c r="L75"/>
  <c r="L79" s="1"/>
  <c r="L67"/>
  <c r="L77"/>
  <c r="M65"/>
  <c r="M73"/>
  <c r="N65"/>
  <c r="N73"/>
  <c r="O65"/>
  <c r="O73" s="1"/>
  <c r="AD42" i="21"/>
  <c r="AD56"/>
  <c r="AD22"/>
  <c r="DX75"/>
  <c r="FS64"/>
  <c r="EQ65"/>
  <c r="EL75"/>
  <c r="CF66"/>
  <c r="CT22"/>
  <c r="F43" i="7"/>
  <c r="F24"/>
  <c r="F38"/>
  <c r="F46"/>
  <c r="F54"/>
  <c r="F61"/>
  <c r="F68"/>
  <c r="F72"/>
  <c r="F77"/>
  <c r="F6"/>
  <c r="F12"/>
  <c r="F18"/>
  <c r="F23"/>
  <c r="F27"/>
  <c r="F32"/>
  <c r="F37"/>
  <c r="F41"/>
  <c r="F45"/>
  <c r="F49"/>
  <c r="F53"/>
  <c r="F60"/>
  <c r="F67"/>
  <c r="F71"/>
  <c r="F75"/>
  <c r="F44"/>
  <c r="F82"/>
  <c r="F83" s="1"/>
  <c r="F104" s="1"/>
  <c r="D73" i="8" s="1"/>
  <c r="G73" s="1"/>
  <c r="N69" i="4" s="1"/>
  <c r="F223" i="29"/>
  <c r="AB4" i="21"/>
  <c r="F40" i="7"/>
  <c r="F31"/>
  <c r="F22"/>
  <c r="F11"/>
  <c r="G64" i="21"/>
  <c r="F29" i="7"/>
  <c r="F25"/>
  <c r="F20"/>
  <c r="F15"/>
  <c r="D57" i="8" s="1"/>
  <c r="G57" s="1"/>
  <c r="F80" i="7"/>
  <c r="F81" s="1"/>
  <c r="F103" s="1"/>
  <c r="D29" i="8" s="1"/>
  <c r="G29" s="1"/>
  <c r="N24" i="4" s="1"/>
  <c r="P24" s="1"/>
  <c r="F10" i="7"/>
  <c r="F70"/>
  <c r="F65"/>
  <c r="F66" s="1"/>
  <c r="F100" s="1"/>
  <c r="D23" i="8" s="1"/>
  <c r="G23" s="1"/>
  <c r="X66" i="21"/>
  <c r="F56" i="7"/>
  <c r="F48"/>
  <c r="AB20" i="21"/>
  <c r="AB21" s="1"/>
  <c r="F52" i="7"/>
  <c r="F151" i="29"/>
  <c r="AB36" i="21"/>
  <c r="W71"/>
  <c r="AB71"/>
  <c r="AB31"/>
  <c r="F149" i="29"/>
  <c r="F165"/>
  <c r="W66" i="21"/>
  <c r="AB66" s="1"/>
  <c r="F161" i="29"/>
  <c r="F170"/>
  <c r="F184"/>
  <c r="F185" s="1"/>
  <c r="D41" i="6" s="1"/>
  <c r="G41" s="1"/>
  <c r="AB35" i="21"/>
  <c r="F6" i="29"/>
  <c r="F168"/>
  <c r="F176"/>
  <c r="F191"/>
  <c r="F193" s="1"/>
  <c r="D25" i="6" s="1"/>
  <c r="G25" s="1"/>
  <c r="F212" i="29"/>
  <c r="F187"/>
  <c r="F200"/>
  <c r="F208"/>
  <c r="F216"/>
  <c r="F210"/>
  <c r="F214"/>
  <c r="F218"/>
  <c r="AB13" i="21"/>
  <c r="F220" i="29"/>
  <c r="W65" i="21"/>
  <c r="W42"/>
  <c r="W56"/>
  <c r="AB5"/>
  <c r="AB7"/>
  <c r="X69"/>
  <c r="X75"/>
  <c r="AB24"/>
  <c r="X42"/>
  <c r="X56" s="1"/>
  <c r="W70"/>
  <c r="AB70"/>
  <c r="AB12"/>
  <c r="W69"/>
  <c r="AB69" s="1"/>
  <c r="AB34"/>
  <c r="AA65"/>
  <c r="AA75"/>
  <c r="AB11"/>
  <c r="W75"/>
  <c r="AB14"/>
  <c r="AB22" s="1"/>
  <c r="AB65"/>
  <c r="AB29"/>
  <c r="AB42"/>
  <c r="F123" i="29"/>
  <c r="F119"/>
  <c r="F125"/>
  <c r="F133"/>
  <c r="F159"/>
  <c r="F127"/>
  <c r="F131"/>
  <c r="F137"/>
  <c r="F143"/>
  <c r="F135"/>
  <c r="F44" i="18"/>
  <c r="F45" s="1"/>
  <c r="F47" s="1"/>
  <c r="C25"/>
  <c r="C27" s="1"/>
  <c r="BR36" i="20"/>
  <c r="BU33"/>
  <c r="BV33"/>
  <c r="DY33"/>
  <c r="DZ33"/>
  <c r="DV36"/>
  <c r="HS33"/>
  <c r="HT33" s="1"/>
  <c r="HP36"/>
  <c r="FV33"/>
  <c r="FW33"/>
  <c r="FS36"/>
  <c r="FE36"/>
  <c r="FH33"/>
  <c r="FI33"/>
  <c r="DR33"/>
  <c r="DS33"/>
  <c r="DO36"/>
  <c r="CW33"/>
  <c r="CX33" s="1"/>
  <c r="CT36"/>
  <c r="CB33"/>
  <c r="CC33"/>
  <c r="BY36"/>
  <c r="BU36"/>
  <c r="HM33"/>
  <c r="HL36"/>
  <c r="ID36"/>
  <c r="IG33"/>
  <c r="IH33"/>
  <c r="FO33"/>
  <c r="FP33"/>
  <c r="FL36"/>
  <c r="CA33"/>
  <c r="CA36" s="1"/>
  <c r="BX36"/>
  <c r="BN33"/>
  <c r="BO33" s="1"/>
  <c r="BK36"/>
  <c r="BM33"/>
  <c r="BM36"/>
  <c r="BJ36"/>
  <c r="BG33"/>
  <c r="BG36" s="1"/>
  <c r="BD36"/>
  <c r="DS36"/>
  <c r="CB36"/>
  <c r="IH13"/>
  <c r="IH19"/>
  <c r="IH26" s="1"/>
  <c r="IH31" s="1"/>
  <c r="IH36" s="1"/>
  <c r="IC19"/>
  <c r="IC26"/>
  <c r="IC31" s="1"/>
  <c r="IC36" s="1"/>
  <c r="HF13"/>
  <c r="HE19"/>
  <c r="HE26" s="1"/>
  <c r="HE31" s="1"/>
  <c r="HE36" s="1"/>
  <c r="GY11"/>
  <c r="GY19" s="1"/>
  <c r="GY26" s="1"/>
  <c r="GY31" s="1"/>
  <c r="GU19"/>
  <c r="GU26" s="1"/>
  <c r="GU31" s="1"/>
  <c r="FI17"/>
  <c r="FI19"/>
  <c r="FI26" s="1"/>
  <c r="FI31" s="1"/>
  <c r="FI36" s="1"/>
  <c r="FH19"/>
  <c r="FH26" s="1"/>
  <c r="FH31" s="1"/>
  <c r="FH36" s="1"/>
  <c r="EX19"/>
  <c r="EX26" s="1"/>
  <c r="EX31" s="1"/>
  <c r="FB13"/>
  <c r="FB19"/>
  <c r="FB26" s="1"/>
  <c r="FB31" s="1"/>
  <c r="CM19"/>
  <c r="CM26"/>
  <c r="CM31" s="1"/>
  <c r="CQ13"/>
  <c r="CQ19" s="1"/>
  <c r="CQ26" s="1"/>
  <c r="CQ31" s="1"/>
  <c r="IO19"/>
  <c r="HZ19"/>
  <c r="HZ26" s="1"/>
  <c r="HZ31" s="1"/>
  <c r="IA17"/>
  <c r="HW19"/>
  <c r="HW26" s="1"/>
  <c r="HW31" s="1"/>
  <c r="HF19"/>
  <c r="HF26"/>
  <c r="HF31" s="1"/>
  <c r="HF36" s="1"/>
  <c r="GQ19"/>
  <c r="GQ26"/>
  <c r="GQ31" s="1"/>
  <c r="GQ36" s="1"/>
  <c r="GC19"/>
  <c r="GC26"/>
  <c r="GC31" s="1"/>
  <c r="GD13"/>
  <c r="GD19"/>
  <c r="GD26" s="1"/>
  <c r="GD31" s="1"/>
  <c r="FV19"/>
  <c r="FV26" s="1"/>
  <c r="FV31" s="1"/>
  <c r="FV36" s="1"/>
  <c r="FW13"/>
  <c r="FW19" s="1"/>
  <c r="FW26" s="1"/>
  <c r="FW31" s="1"/>
  <c r="FW36" s="1"/>
  <c r="FO19"/>
  <c r="FO26"/>
  <c r="FO31" s="1"/>
  <c r="FO36" s="1"/>
  <c r="FP13"/>
  <c r="FP19"/>
  <c r="FP26" s="1"/>
  <c r="FP31" s="1"/>
  <c r="FP36" s="1"/>
  <c r="ET19"/>
  <c r="ET26" s="1"/>
  <c r="ET31" s="1"/>
  <c r="ET36" s="1"/>
  <c r="EM19"/>
  <c r="EM26" s="1"/>
  <c r="EM31" s="1"/>
  <c r="EM36" s="1"/>
  <c r="DL13"/>
  <c r="CI19"/>
  <c r="CI26" s="1"/>
  <c r="CI31" s="1"/>
  <c r="CI36" s="1"/>
  <c r="CJ13"/>
  <c r="CJ19" s="1"/>
  <c r="CJ26" s="1"/>
  <c r="CJ31" s="1"/>
  <c r="CJ36" s="1"/>
  <c r="IA10"/>
  <c r="IA19"/>
  <c r="HX19"/>
  <c r="HX26"/>
  <c r="HX31" s="1"/>
  <c r="HX36" s="1"/>
  <c r="HH19"/>
  <c r="HH26"/>
  <c r="HH31" s="1"/>
  <c r="HH36" s="1"/>
  <c r="HH38" s="1"/>
  <c r="HM13"/>
  <c r="GQ33"/>
  <c r="GR33"/>
  <c r="GN36"/>
  <c r="GJ33"/>
  <c r="GK33" s="1"/>
  <c r="GG36"/>
  <c r="GK13"/>
  <c r="GF19"/>
  <c r="GF26" s="1"/>
  <c r="GF31" s="1"/>
  <c r="GF36" s="1"/>
  <c r="EC19"/>
  <c r="EC26" s="1"/>
  <c r="EC31" s="1"/>
  <c r="EG13"/>
  <c r="IG19"/>
  <c r="IG26" s="1"/>
  <c r="IG31" s="1"/>
  <c r="IG36" s="1"/>
  <c r="HT13"/>
  <c r="HT19"/>
  <c r="HT26" s="1"/>
  <c r="HT31" s="1"/>
  <c r="HT36" s="1"/>
  <c r="HM19"/>
  <c r="HM26" s="1"/>
  <c r="HM31" s="1"/>
  <c r="HM36" s="1"/>
  <c r="GK19"/>
  <c r="GK26" s="1"/>
  <c r="GK31" s="1"/>
  <c r="GK36" s="1"/>
  <c r="EU19"/>
  <c r="EU26" s="1"/>
  <c r="EU31" s="1"/>
  <c r="EU36" s="1"/>
  <c r="EN19"/>
  <c r="EN26" s="1"/>
  <c r="EN31" s="1"/>
  <c r="EN36" s="1"/>
  <c r="EG19"/>
  <c r="EG26" s="1"/>
  <c r="EG31" s="1"/>
  <c r="DY19"/>
  <c r="DY26"/>
  <c r="DY31" s="1"/>
  <c r="DY36" s="1"/>
  <c r="DZ13"/>
  <c r="DL10"/>
  <c r="DE13"/>
  <c r="CZ19"/>
  <c r="CZ26" s="1"/>
  <c r="CZ31" s="1"/>
  <c r="CW19"/>
  <c r="CW26"/>
  <c r="CW31" s="1"/>
  <c r="CW36" s="1"/>
  <c r="CX13"/>
  <c r="CX19"/>
  <c r="CX26" s="1"/>
  <c r="CX31" s="1"/>
  <c r="CX36" s="1"/>
  <c r="CC13"/>
  <c r="CC19" s="1"/>
  <c r="CC26" s="1"/>
  <c r="CC31" s="1"/>
  <c r="CC36" s="1"/>
  <c r="BV13"/>
  <c r="BV19" s="1"/>
  <c r="BV26" s="1"/>
  <c r="BV31" s="1"/>
  <c r="BV36" s="1"/>
  <c r="BQ19"/>
  <c r="BQ26"/>
  <c r="BQ31" s="1"/>
  <c r="BC19"/>
  <c r="BC26" s="1"/>
  <c r="BC31" s="1"/>
  <c r="T19"/>
  <c r="T26"/>
  <c r="T31" s="1"/>
  <c r="T36" s="1"/>
  <c r="N4" i="21"/>
  <c r="F35" i="25"/>
  <c r="E5" i="33"/>
  <c r="D10"/>
  <c r="C10"/>
  <c r="F76" i="4"/>
  <c r="D74"/>
  <c r="E76"/>
  <c r="B74"/>
  <c r="D76"/>
  <c r="A74"/>
  <c r="F72"/>
  <c r="E74"/>
  <c r="F41"/>
  <c r="F42" s="1"/>
  <c r="F74" s="1"/>
  <c r="H41"/>
  <c r="H42" s="1"/>
  <c r="H74" s="1"/>
  <c r="X19" i="20"/>
  <c r="X26"/>
  <c r="X31" s="1"/>
  <c r="X36" s="1"/>
  <c r="K19"/>
  <c r="K26" s="1"/>
  <c r="K31" s="1"/>
  <c r="K36" s="1"/>
  <c r="Y17"/>
  <c r="Y13"/>
  <c r="N64" i="21"/>
  <c r="AT19" i="20"/>
  <c r="AT26" s="1"/>
  <c r="AT31" s="1"/>
  <c r="AP19"/>
  <c r="AP26" s="1"/>
  <c r="AP31" s="1"/>
  <c r="F147" i="29"/>
  <c r="F115"/>
  <c r="N20" i="21"/>
  <c r="N21"/>
  <c r="N13"/>
  <c r="N36"/>
  <c r="F117" i="29"/>
  <c r="N5" i="21"/>
  <c r="N7"/>
  <c r="N71"/>
  <c r="N38"/>
  <c r="N31"/>
  <c r="N66"/>
  <c r="N69"/>
  <c r="N24"/>
  <c r="N34"/>
  <c r="N12"/>
  <c r="N70"/>
  <c r="N35"/>
  <c r="N11"/>
  <c r="N65"/>
  <c r="N75" s="1"/>
  <c r="N14"/>
  <c r="N22" s="1"/>
  <c r="N29"/>
  <c r="N42" s="1"/>
  <c r="F97" i="29"/>
  <c r="F101"/>
  <c r="F106"/>
  <c r="F110"/>
  <c r="F118"/>
  <c r="F126"/>
  <c r="F134"/>
  <c r="F142"/>
  <c r="F150"/>
  <c r="F158"/>
  <c r="F169"/>
  <c r="F189"/>
  <c r="F190" s="1"/>
  <c r="D67" i="6" s="1"/>
  <c r="G67" s="1"/>
  <c r="F209" i="29"/>
  <c r="F7"/>
  <c r="F112"/>
  <c r="F116"/>
  <c r="F120"/>
  <c r="F124"/>
  <c r="F128"/>
  <c r="F132"/>
  <c r="F136"/>
  <c r="F140"/>
  <c r="F144"/>
  <c r="F148"/>
  <c r="F152"/>
  <c r="F156"/>
  <c r="F164"/>
  <c r="F173"/>
  <c r="F71"/>
  <c r="F167"/>
  <c r="F171"/>
  <c r="F175"/>
  <c r="F186"/>
  <c r="F188" s="1"/>
  <c r="D40" i="6" s="1"/>
  <c r="G40" s="1"/>
  <c r="F192" i="29"/>
  <c r="F199"/>
  <c r="F203"/>
  <c r="F207"/>
  <c r="F211"/>
  <c r="F215"/>
  <c r="F160"/>
  <c r="F182"/>
  <c r="F183" s="1"/>
  <c r="F196"/>
  <c r="F205"/>
  <c r="F213"/>
  <c r="F221"/>
  <c r="F16"/>
  <c r="F34"/>
  <c r="F224"/>
  <c r="F225" s="1"/>
  <c r="D21" i="6" s="1"/>
  <c r="G21" s="1"/>
  <c r="F232" i="29"/>
  <c r="F9"/>
  <c r="F14"/>
  <c r="F19"/>
  <c r="F96"/>
  <c r="F179"/>
  <c r="F219"/>
  <c r="F228"/>
  <c r="F229" s="1"/>
  <c r="F12"/>
  <c r="F21"/>
  <c r="F30"/>
  <c r="F38"/>
  <c r="F54"/>
  <c r="F88"/>
  <c r="F42"/>
  <c r="F46"/>
  <c r="F50"/>
  <c r="F58"/>
  <c r="F67"/>
  <c r="F75"/>
  <c r="F23"/>
  <c r="F28"/>
  <c r="F32"/>
  <c r="F36"/>
  <c r="F40"/>
  <c r="F48"/>
  <c r="F62"/>
  <c r="F79"/>
  <c r="F52"/>
  <c r="F56"/>
  <c r="F60"/>
  <c r="F65"/>
  <c r="F69"/>
  <c r="F73"/>
  <c r="F107"/>
  <c r="F84"/>
  <c r="F92"/>
  <c r="F102"/>
  <c r="F109"/>
  <c r="F77"/>
  <c r="F81"/>
  <c r="F86"/>
  <c r="F90"/>
  <c r="F94"/>
  <c r="F98"/>
  <c r="F10"/>
  <c r="F74" i="7"/>
  <c r="F100" i="29"/>
  <c r="F105"/>
  <c r="F121"/>
  <c r="C4" i="21"/>
  <c r="F111" i="29"/>
  <c r="F129"/>
  <c r="F12" i="18"/>
  <c r="F14" s="1"/>
  <c r="C14"/>
  <c r="D27" i="6"/>
  <c r="E27" s="1"/>
  <c r="C5" i="33"/>
  <c r="E8"/>
  <c r="C8"/>
  <c r="F47" i="7"/>
  <c r="F39"/>
  <c r="B4" i="21"/>
  <c r="G4" s="1"/>
  <c r="M36" i="20"/>
  <c r="P33"/>
  <c r="P36" s="1"/>
  <c r="Q33"/>
  <c r="R33" s="1"/>
  <c r="N36"/>
  <c r="Q36"/>
  <c r="AH36"/>
  <c r="AK33"/>
  <c r="AK36" s="1"/>
  <c r="AL33"/>
  <c r="AM33" s="1"/>
  <c r="AI36"/>
  <c r="AM13"/>
  <c r="AM19" s="1"/>
  <c r="AM26" s="1"/>
  <c r="AM31" s="1"/>
  <c r="AM36" s="1"/>
  <c r="D48" i="14"/>
  <c r="C56"/>
  <c r="C60" s="1"/>
  <c r="E56"/>
  <c r="E60" s="1"/>
  <c r="D54"/>
  <c r="D40"/>
  <c r="D44"/>
  <c r="C40"/>
  <c r="C44"/>
  <c r="E40"/>
  <c r="E44"/>
  <c r="H56"/>
  <c r="H60"/>
  <c r="J56"/>
  <c r="J60"/>
  <c r="H66"/>
  <c r="G65"/>
  <c r="G73" s="1"/>
  <c r="G75" s="1"/>
  <c r="G79" s="1"/>
  <c r="G56"/>
  <c r="G60"/>
  <c r="G74"/>
  <c r="I66"/>
  <c r="H40"/>
  <c r="H44"/>
  <c r="J40"/>
  <c r="J44"/>
  <c r="G40"/>
  <c r="G44"/>
  <c r="I40"/>
  <c r="I44"/>
  <c r="D56"/>
  <c r="D60" s="1"/>
  <c r="I74"/>
  <c r="H74"/>
  <c r="H65"/>
  <c r="H73" s="1"/>
  <c r="H75" s="1"/>
  <c r="H79" s="1"/>
  <c r="J66"/>
  <c r="J74"/>
  <c r="Y19" i="20"/>
  <c r="Y26" s="1"/>
  <c r="Y31" s="1"/>
  <c r="I33"/>
  <c r="F36"/>
  <c r="F35" i="7"/>
  <c r="G36" i="20"/>
  <c r="J33"/>
  <c r="F202" i="29"/>
  <c r="F153"/>
  <c r="F155"/>
  <c r="F197"/>
  <c r="D28" i="6" s="1"/>
  <c r="G28" s="1"/>
  <c r="F233" i="29"/>
  <c r="F234" s="1"/>
  <c r="D73" i="6" s="1"/>
  <c r="G73" s="1"/>
  <c r="F230" i="29"/>
  <c r="F231" s="1"/>
  <c r="D42" i="6" s="1"/>
  <c r="G42" s="1"/>
  <c r="F11" i="29"/>
  <c r="F15"/>
  <c r="F22"/>
  <c r="D55" i="6" s="1"/>
  <c r="G55" s="1"/>
  <c r="F27" i="29"/>
  <c r="F13"/>
  <c r="F31"/>
  <c r="F145"/>
  <c r="F139"/>
  <c r="F20"/>
  <c r="F24"/>
  <c r="D61" i="6" s="1"/>
  <c r="G61" s="1"/>
  <c r="F29" i="29"/>
  <c r="F33"/>
  <c r="F37"/>
  <c r="F43"/>
  <c r="F47"/>
  <c r="F16" i="7"/>
  <c r="D53" i="8" s="1"/>
  <c r="F36" i="7"/>
  <c r="F9"/>
  <c r="F58"/>
  <c r="F8"/>
  <c r="F57"/>
  <c r="F39" i="29"/>
  <c r="F35"/>
  <c r="F51"/>
  <c r="G74" i="21"/>
  <c r="GN66"/>
  <c r="GF75"/>
  <c r="GG65"/>
  <c r="FS65"/>
  <c r="FS75" s="1"/>
  <c r="FN75"/>
  <c r="EE75"/>
  <c r="EJ65"/>
  <c r="EJ75" s="1"/>
  <c r="DN75"/>
  <c r="DO65"/>
  <c r="DO75" s="1"/>
  <c r="CZ75"/>
  <c r="CM66"/>
  <c r="CH75"/>
  <c r="HB75"/>
  <c r="FL42"/>
  <c r="EC22"/>
  <c r="DH22"/>
  <c r="CM65"/>
  <c r="CM75"/>
  <c r="GM75"/>
  <c r="GN65"/>
  <c r="GG64"/>
  <c r="FU75"/>
  <c r="FZ65"/>
  <c r="FZ75"/>
  <c r="GP21"/>
  <c r="GU19"/>
  <c r="GU21" s="1"/>
  <c r="GU22" s="1"/>
  <c r="FE64"/>
  <c r="ET22"/>
  <c r="ET56"/>
  <c r="EW75"/>
  <c r="EX65"/>
  <c r="EX75"/>
  <c r="DD75"/>
  <c r="DH69"/>
  <c r="DA66"/>
  <c r="BY66"/>
  <c r="AW65"/>
  <c r="AV75"/>
  <c r="AO75"/>
  <c r="AP65"/>
  <c r="AP75" s="1"/>
  <c r="AP66"/>
  <c r="AK75"/>
  <c r="AH75"/>
  <c r="AI65"/>
  <c r="GU75"/>
  <c r="GG22"/>
  <c r="HB22"/>
  <c r="EQ22"/>
  <c r="DO22"/>
  <c r="CT75"/>
  <c r="B46" i="25"/>
  <c r="D8" i="33"/>
  <c r="E10"/>
  <c r="E11" s="1"/>
  <c r="O30"/>
  <c r="D98" i="6"/>
  <c r="A80"/>
  <c r="A78"/>
  <c r="L34" i="4"/>
  <c r="H39" i="6"/>
  <c r="A78" i="8"/>
  <c r="B48" i="14"/>
  <c r="B54"/>
  <c r="B66"/>
  <c r="C66" s="1"/>
  <c r="B65"/>
  <c r="C72" i="21"/>
  <c r="F26" i="7"/>
  <c r="N30" i="33"/>
  <c r="F49" i="25"/>
  <c r="F50" s="1"/>
  <c r="D53" i="6"/>
  <c r="G53" s="1"/>
  <c r="F59" i="29"/>
  <c r="F55"/>
  <c r="F68"/>
  <c r="F217"/>
  <c r="F41"/>
  <c r="F45"/>
  <c r="F49"/>
  <c r="F53"/>
  <c r="F57"/>
  <c r="F61"/>
  <c r="F87"/>
  <c r="F166"/>
  <c r="F62" i="7"/>
  <c r="F98" s="1"/>
  <c r="D37" i="8" s="1"/>
  <c r="G37" s="1"/>
  <c r="F72" i="29"/>
  <c r="F76"/>
  <c r="F66"/>
  <c r="F70"/>
  <c r="F74"/>
  <c r="F78"/>
  <c r="F122"/>
  <c r="F154"/>
  <c r="F99"/>
  <c r="F44"/>
  <c r="F82"/>
  <c r="F91"/>
  <c r="F108"/>
  <c r="F138"/>
  <c r="F177"/>
  <c r="F113"/>
  <c r="F80"/>
  <c r="F85"/>
  <c r="F26"/>
  <c r="F89"/>
  <c r="F95"/>
  <c r="F103"/>
  <c r="F114"/>
  <c r="F130"/>
  <c r="F146"/>
  <c r="F93"/>
  <c r="F162"/>
  <c r="F201"/>
  <c r="W33" i="20"/>
  <c r="W36"/>
  <c r="I36"/>
  <c r="J36"/>
  <c r="K33"/>
  <c r="X33"/>
  <c r="GP22" i="21"/>
  <c r="GP56"/>
  <c r="B56" i="14"/>
  <c r="B60"/>
  <c r="B74"/>
  <c r="B67"/>
  <c r="B77" s="1"/>
  <c r="C65"/>
  <c r="C67" s="1"/>
  <c r="B73"/>
  <c r="B72" i="21"/>
  <c r="G72" s="1"/>
  <c r="G39"/>
  <c r="B75" i="14"/>
  <c r="B79" s="1"/>
  <c r="D65"/>
  <c r="D73" s="1"/>
  <c r="E65"/>
  <c r="P31" i="4"/>
  <c r="Q31" s="1"/>
  <c r="F18" i="29"/>
  <c r="D51" i="6" s="1"/>
  <c r="O34" i="4"/>
  <c r="P34" s="1"/>
  <c r="Q34" s="1"/>
  <c r="C11" i="33"/>
  <c r="P30"/>
  <c r="D5"/>
  <c r="D11" s="1"/>
  <c r="F8" i="29" l="1"/>
  <c r="F19" i="18"/>
  <c r="S17" s="1"/>
  <c r="L12" i="28"/>
  <c r="S18" i="18"/>
  <c r="F25"/>
  <c r="B50" i="25"/>
  <c r="C37" i="18"/>
  <c r="C48" s="1"/>
  <c r="B35" i="25"/>
  <c r="F50" i="7"/>
  <c r="F42"/>
  <c r="F28"/>
  <c r="F30" s="1"/>
  <c r="F95" s="1"/>
  <c r="F73"/>
  <c r="F198" i="29"/>
  <c r="F33" i="7"/>
  <c r="F34" s="1"/>
  <c r="F96" s="1"/>
  <c r="F7"/>
  <c r="F13" s="1"/>
  <c r="F92" s="1"/>
  <c r="F14"/>
  <c r="D51" i="8" s="1"/>
  <c r="G51" s="1"/>
  <c r="N46" i="4" s="1"/>
  <c r="N77" s="1"/>
  <c r="F104" i="29"/>
  <c r="F19" i="7"/>
  <c r="F21" s="1"/>
  <c r="F94" s="1"/>
  <c r="D7" i="8" s="1"/>
  <c r="G7" s="1"/>
  <c r="N7" i="4" s="1"/>
  <c r="F55" i="7"/>
  <c r="F78"/>
  <c r="F79" s="1"/>
  <c r="F102" s="1"/>
  <c r="D21" i="8" s="1"/>
  <c r="G21" s="1"/>
  <c r="F63" i="7"/>
  <c r="F64" s="1"/>
  <c r="F99" s="1"/>
  <c r="D67" i="8" s="1"/>
  <c r="G67" s="1"/>
  <c r="N63" i="4" s="1"/>
  <c r="F17" i="29"/>
  <c r="D30" i="6" s="1"/>
  <c r="G30" s="1"/>
  <c r="F69" i="7"/>
  <c r="F76" s="1"/>
  <c r="F101" s="1"/>
  <c r="D22" i="8" s="1"/>
  <c r="G22" s="1"/>
  <c r="G68" i="21"/>
  <c r="L50" i="4"/>
  <c r="P50" s="1"/>
  <c r="Q50" s="1"/>
  <c r="H55" i="6"/>
  <c r="F174" i="29"/>
  <c r="G67" i="21"/>
  <c r="C74" i="14"/>
  <c r="D66"/>
  <c r="C77"/>
  <c r="AS33" i="20"/>
  <c r="AP36"/>
  <c r="BT33"/>
  <c r="BT36" s="1"/>
  <c r="BQ36"/>
  <c r="CZ36"/>
  <c r="DC33"/>
  <c r="DC36" s="1"/>
  <c r="CM36"/>
  <c r="CP33"/>
  <c r="CQ33" s="1"/>
  <c r="FA33"/>
  <c r="EX36"/>
  <c r="GU36"/>
  <c r="GX33"/>
  <c r="GY33" s="1"/>
  <c r="CP36"/>
  <c r="R36"/>
  <c r="Y33"/>
  <c r="BF33"/>
  <c r="BF36" s="1"/>
  <c r="BC36"/>
  <c r="EF33"/>
  <c r="EC36"/>
  <c r="HZ33"/>
  <c r="IA33" s="1"/>
  <c r="HW36"/>
  <c r="Y36"/>
  <c r="HZ36"/>
  <c r="CQ36"/>
  <c r="GY36"/>
  <c r="AB75" i="21"/>
  <c r="Y74" i="14"/>
  <c r="W73"/>
  <c r="W75" s="1"/>
  <c r="W79" s="1"/>
  <c r="W67"/>
  <c r="W77" s="1"/>
  <c r="AS71"/>
  <c r="AT69"/>
  <c r="AT71" s="1"/>
  <c r="AO53"/>
  <c r="AO40"/>
  <c r="AO44" s="1"/>
  <c r="BJ14" i="25"/>
  <c r="BJ16" s="1"/>
  <c r="BJ18" s="1"/>
  <c r="BJ20" s="1"/>
  <c r="BM10"/>
  <c r="B14"/>
  <c r="B16" s="1"/>
  <c r="B58"/>
  <c r="B60" s="1"/>
  <c r="C75"/>
  <c r="Z18"/>
  <c r="Z20" s="1"/>
  <c r="D75" s="1"/>
  <c r="AG56" i="14"/>
  <c r="AG60" s="1"/>
  <c r="AG65"/>
  <c r="AG74"/>
  <c r="GC33" i="20"/>
  <c r="GD33" s="1"/>
  <c r="GD36" s="1"/>
  <c r="FZ36"/>
  <c r="E73" i="14"/>
  <c r="D67"/>
  <c r="C73"/>
  <c r="C75" s="1"/>
  <c r="F64" i="29"/>
  <c r="D7" i="6" s="1"/>
  <c r="G7" s="1"/>
  <c r="H67" i="14"/>
  <c r="H77" s="1"/>
  <c r="G67"/>
  <c r="G77" s="1"/>
  <c r="AL36" i="20"/>
  <c r="GJ36"/>
  <c r="HS36"/>
  <c r="BH33"/>
  <c r="AP42" i="21"/>
  <c r="V79" i="14"/>
  <c r="AQ48"/>
  <c r="AR48"/>
  <c r="AS48"/>
  <c r="AT54"/>
  <c r="HB54" i="21"/>
  <c r="GN7"/>
  <c r="GG54"/>
  <c r="FZ22"/>
  <c r="FS22"/>
  <c r="AG16" i="27"/>
  <c r="AG18" s="1"/>
  <c r="AG20" s="1"/>
  <c r="AH66" i="14"/>
  <c r="EX42" i="21"/>
  <c r="V77" i="14"/>
  <c r="AW66" i="21"/>
  <c r="AW75" s="1"/>
  <c r="AR75"/>
  <c r="X74" i="14"/>
  <c r="AV65"/>
  <c r="AT56"/>
  <c r="AT60" s="1"/>
  <c r="AL56"/>
  <c r="AL60" s="1"/>
  <c r="AL65"/>
  <c r="AN56"/>
  <c r="AN60" s="1"/>
  <c r="GN19" i="21"/>
  <c r="GN21" s="1"/>
  <c r="GN22" s="1"/>
  <c r="GI21"/>
  <c r="C63" i="25"/>
  <c r="C65" s="1"/>
  <c r="C18"/>
  <c r="C20" s="1"/>
  <c r="C74"/>
  <c r="C76" s="1"/>
  <c r="AL10" i="27"/>
  <c r="AH65" i="14"/>
  <c r="AH56"/>
  <c r="AH60" s="1"/>
  <c r="AB65"/>
  <c r="C31" i="17"/>
  <c r="C34" s="1"/>
  <c r="C37" s="1"/>
  <c r="C40" s="1"/>
  <c r="E28"/>
  <c r="E31" s="1"/>
  <c r="E34" s="1"/>
  <c r="E37" s="1"/>
  <c r="EQ75" i="21"/>
  <c r="AV54" i="14"/>
  <c r="AV66" s="1"/>
  <c r="AX54"/>
  <c r="AQ54"/>
  <c r="AQ66" s="1"/>
  <c r="AR66"/>
  <c r="AM54"/>
  <c r="AM66" s="1"/>
  <c r="AO54"/>
  <c r="AC65"/>
  <c r="X65"/>
  <c r="CH56" i="21"/>
  <c r="BT56"/>
  <c r="AI71" i="27"/>
  <c r="Q71"/>
  <c r="AE71" s="1"/>
  <c r="AI62"/>
  <c r="J62"/>
  <c r="N66"/>
  <c r="N68" s="1"/>
  <c r="N70" s="1"/>
  <c r="N72" s="1"/>
  <c r="IV15" i="20"/>
  <c r="IU19"/>
  <c r="IU26" s="1"/>
  <c r="IU31" s="1"/>
  <c r="S33" i="18"/>
  <c r="S37" s="1"/>
  <c r="S15"/>
  <c r="EZ65" i="21"/>
  <c r="EZ42"/>
  <c r="EZ56" s="1"/>
  <c r="AJ12" i="14"/>
  <c r="AJ34"/>
  <c r="C72" i="4"/>
  <c r="C74" s="1"/>
  <c r="C76"/>
  <c r="DV67" i="21"/>
  <c r="DR75"/>
  <c r="DA13"/>
  <c r="DA14" s="1"/>
  <c r="CW14"/>
  <c r="DZ10" i="20"/>
  <c r="DZ19" s="1"/>
  <c r="DZ26" s="1"/>
  <c r="DZ31" s="1"/>
  <c r="DZ36" s="1"/>
  <c r="DU19"/>
  <c r="DU26" s="1"/>
  <c r="DU31" s="1"/>
  <c r="DU36" s="1"/>
  <c r="L33" i="4"/>
  <c r="H38" i="6"/>
  <c r="L19" i="4"/>
  <c r="H24" i="6"/>
  <c r="CA69" i="21"/>
  <c r="CF34"/>
  <c r="CA24"/>
  <c r="CF24" s="1"/>
  <c r="DE10" i="20"/>
  <c r="DE19" s="1"/>
  <c r="DE26" s="1"/>
  <c r="DE31" s="1"/>
  <c r="DA19"/>
  <c r="DA26" s="1"/>
  <c r="DA31" s="1"/>
  <c r="BT69" i="21"/>
  <c r="BY34"/>
  <c r="BM22"/>
  <c r="BF71"/>
  <c r="BF42"/>
  <c r="BF56" s="1"/>
  <c r="BK38"/>
  <c r="AH20"/>
  <c r="AE21"/>
  <c r="AI36"/>
  <c r="AE34"/>
  <c r="AI11" i="27"/>
  <c r="AL11" s="1"/>
  <c r="AG66"/>
  <c r="AG68" s="1"/>
  <c r="AG70" s="1"/>
  <c r="AG72" s="1"/>
  <c r="IA21" i="20"/>
  <c r="IA26" s="1"/>
  <c r="IA31" s="1"/>
  <c r="IA36" s="1"/>
  <c r="D37" i="18"/>
  <c r="D48" s="1"/>
  <c r="DV7" i="21"/>
  <c r="DV21"/>
  <c r="DV22" s="1"/>
  <c r="DH65"/>
  <c r="DH75" s="1"/>
  <c r="DL17" i="20"/>
  <c r="DL19" s="1"/>
  <c r="DL26" s="1"/>
  <c r="DL31" s="1"/>
  <c r="CM21" i="21"/>
  <c r="CM22" s="1"/>
  <c r="CM54"/>
  <c r="CF42"/>
  <c r="CA56"/>
  <c r="BY42"/>
  <c r="G103" i="17"/>
  <c r="BR22" i="21"/>
  <c r="BN75"/>
  <c r="BK21"/>
  <c r="BK22" s="1"/>
  <c r="Q62" i="27"/>
  <c r="Q66" s="1"/>
  <c r="U66"/>
  <c r="U68" s="1"/>
  <c r="U70" s="1"/>
  <c r="U72" s="1"/>
  <c r="IR19" i="20"/>
  <c r="IR26" s="1"/>
  <c r="IR31" s="1"/>
  <c r="IV13"/>
  <c r="DX54" i="21"/>
  <c r="DX56" s="1"/>
  <c r="EC51"/>
  <c r="EC54" s="1"/>
  <c r="DU65"/>
  <c r="DV29"/>
  <c r="CV65"/>
  <c r="CV42"/>
  <c r="CV56" s="1"/>
  <c r="DA29"/>
  <c r="DA42" s="1"/>
  <c r="Z35" i="14"/>
  <c r="Z12"/>
  <c r="CO24" i="21"/>
  <c r="CT24" s="1"/>
  <c r="CT34"/>
  <c r="CT42" s="1"/>
  <c r="BM71"/>
  <c r="BM42"/>
  <c r="BM56" s="1"/>
  <c r="Q46" i="14"/>
  <c r="Q48" s="1"/>
  <c r="Q40"/>
  <c r="Q44" s="1"/>
  <c r="T47"/>
  <c r="T48" s="1"/>
  <c r="T40"/>
  <c r="T44" s="1"/>
  <c r="R39"/>
  <c r="R53" s="1"/>
  <c r="R54" s="1"/>
  <c r="R31"/>
  <c r="AZ69" i="21"/>
  <c r="BD34"/>
  <c r="BD42" s="1"/>
  <c r="AZ24"/>
  <c r="BD24" s="1"/>
  <c r="BO17" i="20"/>
  <c r="BO19" s="1"/>
  <c r="BO26" s="1"/>
  <c r="BO31" s="1"/>
  <c r="BO36" s="1"/>
  <c r="BN19"/>
  <c r="BN26" s="1"/>
  <c r="BN31" s="1"/>
  <c r="BN36" s="1"/>
  <c r="GW54" i="21"/>
  <c r="GW56" s="1"/>
  <c r="EC65"/>
  <c r="AI20"/>
  <c r="AI21" s="1"/>
  <c r="AI29"/>
  <c r="M66" i="14"/>
  <c r="BU75" i="21"/>
  <c r="ET75"/>
  <c r="ES56"/>
  <c r="CO75"/>
  <c r="CL36" i="20"/>
  <c r="S40" i="14"/>
  <c r="S44" s="1"/>
  <c r="DG36" i="20"/>
  <c r="R40" i="14"/>
  <c r="R44" s="1"/>
  <c r="DR19" i="20"/>
  <c r="DR26" s="1"/>
  <c r="DR31" s="1"/>
  <c r="DR36" s="1"/>
  <c r="CV22" i="21"/>
  <c r="AE40" i="14"/>
  <c r="AE44" s="1"/>
  <c r="AC40"/>
  <c r="AC44" s="1"/>
  <c r="AB40"/>
  <c r="AB44" s="1"/>
  <c r="AI40"/>
  <c r="AI44" s="1"/>
  <c r="AH40"/>
  <c r="AH44" s="1"/>
  <c r="AG40"/>
  <c r="AG44" s="1"/>
  <c r="GR13" i="20"/>
  <c r="GR19" s="1"/>
  <c r="GR26" s="1"/>
  <c r="Q67" i="27"/>
  <c r="AE67" s="1"/>
  <c r="W14" i="25"/>
  <c r="W16" s="1"/>
  <c r="W18" s="1"/>
  <c r="W20" s="1"/>
  <c r="BF10"/>
  <c r="BF14" s="1"/>
  <c r="BF16" s="1"/>
  <c r="BF18" s="1"/>
  <c r="FU42" i="21"/>
  <c r="FU56" s="1"/>
  <c r="GJ22"/>
  <c r="AQ71" i="14"/>
  <c r="AT40"/>
  <c r="AT44" s="1"/>
  <c r="AY40"/>
  <c r="AY44" s="1"/>
  <c r="AX40"/>
  <c r="AX44" s="1"/>
  <c r="AR71"/>
  <c r="AQ31"/>
  <c r="AW44"/>
  <c r="AW40"/>
  <c r="AQ40"/>
  <c r="AQ44" s="1"/>
  <c r="AS40"/>
  <c r="AS44" s="1"/>
  <c r="AR40"/>
  <c r="AR44" s="1"/>
  <c r="AT31"/>
  <c r="B40"/>
  <c r="B44" s="1"/>
  <c r="GJ7" i="21"/>
  <c r="GI42"/>
  <c r="GI74"/>
  <c r="GN74" s="1"/>
  <c r="GI64"/>
  <c r="GC22"/>
  <c r="GG41"/>
  <c r="GG29"/>
  <c r="GG42" s="1"/>
  <c r="GB42"/>
  <c r="GB56" s="1"/>
  <c r="GB74"/>
  <c r="FS29"/>
  <c r="FS28"/>
  <c r="FG22"/>
  <c r="FK65"/>
  <c r="AO14" i="25"/>
  <c r="AO16" s="1"/>
  <c r="AO18" s="1"/>
  <c r="AO20" s="1"/>
  <c r="AV14"/>
  <c r="AV16" s="1"/>
  <c r="AV18" s="1"/>
  <c r="AV20" s="1"/>
  <c r="AR19"/>
  <c r="BF19" s="1"/>
  <c r="I45"/>
  <c r="Q15" i="27"/>
  <c r="AE15" s="1"/>
  <c r="J10"/>
  <c r="J14" s="1"/>
  <c r="J16" s="1"/>
  <c r="J18" s="1"/>
  <c r="J20" s="1"/>
  <c r="Q60"/>
  <c r="AE60" s="1"/>
  <c r="S66"/>
  <c r="S68" s="1"/>
  <c r="S70" s="1"/>
  <c r="S72" s="1"/>
  <c r="IE19" i="20"/>
  <c r="IE26" s="1"/>
  <c r="IE31" s="1"/>
  <c r="IE36" s="1"/>
  <c r="IV19"/>
  <c r="IV26" s="1"/>
  <c r="IV31" s="1"/>
  <c r="IV36" s="1"/>
  <c r="GX19"/>
  <c r="GX26" s="1"/>
  <c r="GX31" s="1"/>
  <c r="GX36" s="1"/>
  <c r="GR28"/>
  <c r="F36" i="18"/>
  <c r="FA75" i="21"/>
  <c r="EX7"/>
  <c r="EQ7"/>
  <c r="EJ21"/>
  <c r="EJ22" s="1"/>
  <c r="EJ24"/>
  <c r="EJ51"/>
  <c r="EJ54" s="1"/>
  <c r="AB54" i="14"/>
  <c r="AB66" s="1"/>
  <c r="AC66" s="1"/>
  <c r="EC7" i="21"/>
  <c r="EC71"/>
  <c r="EP19" i="20"/>
  <c r="EP26" s="1"/>
  <c r="EP31" s="1"/>
  <c r="EP36" s="1"/>
  <c r="DV42" i="21"/>
  <c r="DO7"/>
  <c r="DO54"/>
  <c r="DK56"/>
  <c r="DA21"/>
  <c r="CW42"/>
  <c r="CW56" s="1"/>
  <c r="CW75"/>
  <c r="V40" i="14"/>
  <c r="V44" s="1"/>
  <c r="X40"/>
  <c r="X44" s="1"/>
  <c r="CT7" i="21"/>
  <c r="DH19" i="20"/>
  <c r="DH26" s="1"/>
  <c r="DH31" s="1"/>
  <c r="G74" i="4"/>
  <c r="CF21" i="21"/>
  <c r="CF22" s="1"/>
  <c r="CF54"/>
  <c r="CB56"/>
  <c r="CB75"/>
  <c r="BY21"/>
  <c r="BY22" s="1"/>
  <c r="BN56"/>
  <c r="BK42"/>
  <c r="AZ75"/>
  <c r="BH19" i="20"/>
  <c r="BH26" s="1"/>
  <c r="BH31" s="1"/>
  <c r="BH36" s="1"/>
  <c r="I48" i="14"/>
  <c r="BG71" i="21"/>
  <c r="BG75" s="1"/>
  <c r="BG42"/>
  <c r="BG56" s="1"/>
  <c r="AY56"/>
  <c r="AY22"/>
  <c r="AY71"/>
  <c r="BD38"/>
  <c r="AS69"/>
  <c r="AW69" s="1"/>
  <c r="AS24"/>
  <c r="AW24" s="1"/>
  <c r="AI11"/>
  <c r="AI14" s="1"/>
  <c r="AI22" s="1"/>
  <c r="AE14"/>
  <c r="AD69"/>
  <c r="AD24"/>
  <c r="AY33" i="20"/>
  <c r="AY36" s="1"/>
  <c r="AV36"/>
  <c r="AE33"/>
  <c r="AF33" s="1"/>
  <c r="AF36" s="1"/>
  <c r="AB36"/>
  <c r="AA36"/>
  <c r="AD33"/>
  <c r="BK65" i="21"/>
  <c r="BD69"/>
  <c r="AW22"/>
  <c r="AR42"/>
  <c r="AR56" s="1"/>
  <c r="AD36" i="20"/>
  <c r="F204" i="29"/>
  <c r="F222" s="1"/>
  <c r="D22" i="6" s="1"/>
  <c r="F206" i="29"/>
  <c r="F172"/>
  <c r="F178"/>
  <c r="F226"/>
  <c r="F227" s="1"/>
  <c r="D9" i="6" s="1"/>
  <c r="G9" s="1"/>
  <c r="AW19" i="20"/>
  <c r="AW26" s="1"/>
  <c r="AW31" s="1"/>
  <c r="AO19"/>
  <c r="AO26" s="1"/>
  <c r="AO31" s="1"/>
  <c r="F194" i="29"/>
  <c r="F195" s="1"/>
  <c r="D26" i="6" s="1"/>
  <c r="F180" i="29"/>
  <c r="F163"/>
  <c r="I72" i="4"/>
  <c r="I74" s="1"/>
  <c r="AE19" i="20"/>
  <c r="AE26" s="1"/>
  <c r="AE31" s="1"/>
  <c r="AE36" s="1"/>
  <c r="F59" i="7"/>
  <c r="F97" s="1"/>
  <c r="D35" i="8" s="1"/>
  <c r="F25" i="29"/>
  <c r="F141"/>
  <c r="B5" i="21"/>
  <c r="B11"/>
  <c r="B34"/>
  <c r="B24" s="1"/>
  <c r="B29"/>
  <c r="B36"/>
  <c r="G36" s="1"/>
  <c r="B35"/>
  <c r="B13"/>
  <c r="B12"/>
  <c r="F12" s="1"/>
  <c r="B38"/>
  <c r="B31"/>
  <c r="C13"/>
  <c r="C5"/>
  <c r="C7" s="1"/>
  <c r="C31"/>
  <c r="C34"/>
  <c r="G34" s="1"/>
  <c r="C11"/>
  <c r="C20"/>
  <c r="C12"/>
  <c r="L48" i="4"/>
  <c r="H53" i="6"/>
  <c r="F83" i="29"/>
  <c r="D20" i="6" s="1"/>
  <c r="G20" s="1"/>
  <c r="P33" i="4"/>
  <c r="Q33" s="1"/>
  <c r="P19"/>
  <c r="Q19" s="1"/>
  <c r="F157" i="29"/>
  <c r="F181" s="1"/>
  <c r="D35" i="6" s="1"/>
  <c r="G35" s="1"/>
  <c r="H30"/>
  <c r="L25" i="4"/>
  <c r="H7" i="6"/>
  <c r="L7" i="4"/>
  <c r="P7" s="1"/>
  <c r="Q7" s="1"/>
  <c r="N17"/>
  <c r="D30" i="8"/>
  <c r="G30" s="1"/>
  <c r="N25" i="4" s="1"/>
  <c r="D44" i="8"/>
  <c r="G35"/>
  <c r="G53"/>
  <c r="L51" i="4"/>
  <c r="P51" s="1"/>
  <c r="Q51" s="1"/>
  <c r="H61" i="6"/>
  <c r="H73"/>
  <c r="L69" i="4"/>
  <c r="P69" s="1"/>
  <c r="Q69" s="1"/>
  <c r="D58" i="6"/>
  <c r="D43"/>
  <c r="G43" s="1"/>
  <c r="L38" i="4" s="1"/>
  <c r="P38" s="1"/>
  <c r="H21" i="6"/>
  <c r="L16" i="4"/>
  <c r="H67" i="6"/>
  <c r="L63" i="4"/>
  <c r="P63" s="1"/>
  <c r="Q63" s="1"/>
  <c r="L20"/>
  <c r="H25" i="6"/>
  <c r="H41"/>
  <c r="L36" i="4"/>
  <c r="P36" s="1"/>
  <c r="Q36" s="1"/>
  <c r="H57" i="8"/>
  <c r="N53" i="4"/>
  <c r="H9" i="6"/>
  <c r="I9" s="1"/>
  <c r="L9" i="4"/>
  <c r="D81" i="6"/>
  <c r="G81" s="1"/>
  <c r="G51"/>
  <c r="E88"/>
  <c r="F14" i="21"/>
  <c r="F22" s="1"/>
  <c r="H41" i="8"/>
  <c r="N32" i="4"/>
  <c r="L23"/>
  <c r="P23" s="1"/>
  <c r="Q23" s="1"/>
  <c r="H28" i="6"/>
  <c r="H42"/>
  <c r="L37" i="4"/>
  <c r="P37" s="1"/>
  <c r="Q37" s="1"/>
  <c r="E26" i="6"/>
  <c r="E32" s="1"/>
  <c r="E46" s="1"/>
  <c r="E47" s="1"/>
  <c r="E78" s="1"/>
  <c r="G27"/>
  <c r="H40"/>
  <c r="L35" i="4"/>
  <c r="N18"/>
  <c r="H28" i="8"/>
  <c r="B69" i="21"/>
  <c r="F17" i="7"/>
  <c r="B42" i="21" l="1"/>
  <c r="B56" s="1"/>
  <c r="S22" i="18"/>
  <c r="S24" s="1"/>
  <c r="S28" s="1"/>
  <c r="S46" s="1"/>
  <c r="S50" s="1"/>
  <c r="S53" s="1"/>
  <c r="F27"/>
  <c r="F37" s="1"/>
  <c r="D20" i="8"/>
  <c r="G12" i="21"/>
  <c r="D81" i="8"/>
  <c r="N16" i="4"/>
  <c r="H22" i="8"/>
  <c r="P16" i="4"/>
  <c r="Q16" s="1"/>
  <c r="I41" i="6"/>
  <c r="G22"/>
  <c r="D32"/>
  <c r="AC74" i="14"/>
  <c r="AD66"/>
  <c r="BD75" i="21"/>
  <c r="AZ33" i="20"/>
  <c r="AW36"/>
  <c r="DK33"/>
  <c r="DH36"/>
  <c r="GN64" i="21"/>
  <c r="GN75" s="1"/>
  <c r="GI75"/>
  <c r="R66" i="14"/>
  <c r="R56"/>
  <c r="R60" s="1"/>
  <c r="T56"/>
  <c r="T60" s="1"/>
  <c r="Q56"/>
  <c r="Q60" s="1"/>
  <c r="Q65"/>
  <c r="BR71" i="21"/>
  <c r="BR75" s="1"/>
  <c r="BM75"/>
  <c r="Z40" i="14"/>
  <c r="Z44" s="1"/>
  <c r="Z47"/>
  <c r="Z48" s="1"/>
  <c r="AE69" i="21"/>
  <c r="AE75" s="1"/>
  <c r="AE42"/>
  <c r="AE24"/>
  <c r="AI24" s="1"/>
  <c r="AI34"/>
  <c r="AE56"/>
  <c r="AE22"/>
  <c r="BK71"/>
  <c r="BK75" s="1"/>
  <c r="BF75"/>
  <c r="BT75"/>
  <c r="BY69"/>
  <c r="BY75" s="1"/>
  <c r="AJ40" i="14"/>
  <c r="AJ44" s="1"/>
  <c r="AJ46"/>
  <c r="AJ48" s="1"/>
  <c r="AI66" i="27"/>
  <c r="AI68" s="1"/>
  <c r="AI70" s="1"/>
  <c r="AI72" s="1"/>
  <c r="AL62"/>
  <c r="AR74" i="14"/>
  <c r="E40" i="17"/>
  <c r="E43" s="1"/>
  <c r="E46" s="1"/>
  <c r="E49" s="1"/>
  <c r="E52" s="1"/>
  <c r="E55" s="1"/>
  <c r="E58" s="1"/>
  <c r="E61" s="1"/>
  <c r="E64" s="1"/>
  <c r="E67" s="1"/>
  <c r="E70" s="1"/>
  <c r="E73" s="1"/>
  <c r="E76" s="1"/>
  <c r="E79" s="1"/>
  <c r="E82" s="1"/>
  <c r="E85" s="1"/>
  <c r="E88" s="1"/>
  <c r="E91" s="1"/>
  <c r="E94" s="1"/>
  <c r="E97" s="1"/>
  <c r="E100" s="1"/>
  <c r="E103" s="1"/>
  <c r="C43"/>
  <c r="C46" s="1"/>
  <c r="C49" s="1"/>
  <c r="C52" s="1"/>
  <c r="C55" s="1"/>
  <c r="C58" s="1"/>
  <c r="C61" s="1"/>
  <c r="C64" s="1"/>
  <c r="C67" s="1"/>
  <c r="C70" s="1"/>
  <c r="C73" s="1"/>
  <c r="C76" s="1"/>
  <c r="C79" s="1"/>
  <c r="C82" s="1"/>
  <c r="C85" s="1"/>
  <c r="C88" s="1"/>
  <c r="C91" s="1"/>
  <c r="C94" s="1"/>
  <c r="C97" s="1"/>
  <c r="C100" s="1"/>
  <c r="C103" s="1"/>
  <c r="AH73" i="14"/>
  <c r="AI65"/>
  <c r="AH67"/>
  <c r="AH77" s="1"/>
  <c r="D74" i="25"/>
  <c r="D76" s="1"/>
  <c r="D63"/>
  <c r="D65" s="1"/>
  <c r="GI56" i="21"/>
  <c r="GI22"/>
  <c r="AL67" i="14"/>
  <c r="AL77" s="1"/>
  <c r="AL73"/>
  <c r="AL75" s="1"/>
  <c r="AL79" s="1"/>
  <c r="AH74"/>
  <c r="AS56"/>
  <c r="AS60" s="1"/>
  <c r="AQ56"/>
  <c r="AQ60" s="1"/>
  <c r="AQ65"/>
  <c r="C58" i="25"/>
  <c r="C60" s="1"/>
  <c r="B18"/>
  <c r="B20" s="1"/>
  <c r="D58" s="1"/>
  <c r="D60" s="1"/>
  <c r="EG33" i="20"/>
  <c r="EG36" s="1"/>
  <c r="EF36"/>
  <c r="GR31"/>
  <c r="GR36" s="1"/>
  <c r="AI42" i="21"/>
  <c r="EC75"/>
  <c r="AR20" i="25"/>
  <c r="AO56" i="14"/>
  <c r="AO60" s="1"/>
  <c r="AX66"/>
  <c r="AB56"/>
  <c r="AB60" s="1"/>
  <c r="AI14" i="27"/>
  <c r="AI16" s="1"/>
  <c r="AI18" s="1"/>
  <c r="AI20" s="1"/>
  <c r="AM56" i="14"/>
  <c r="AM60" s="1"/>
  <c r="AV56"/>
  <c r="AV60" s="1"/>
  <c r="C79"/>
  <c r="AO36" i="20"/>
  <c r="AR33"/>
  <c r="AR36" s="1"/>
  <c r="AI69" i="21"/>
  <c r="AI75" s="1"/>
  <c r="AD75"/>
  <c r="BD71"/>
  <c r="AY75"/>
  <c r="I56" i="14"/>
  <c r="I60" s="1"/>
  <c r="I65"/>
  <c r="AB74"/>
  <c r="FL65" i="21"/>
  <c r="FL75" s="1"/>
  <c r="FK75"/>
  <c r="GG74"/>
  <c r="GG75" s="1"/>
  <c r="GB75"/>
  <c r="N66" i="14"/>
  <c r="M74"/>
  <c r="M67"/>
  <c r="M77" s="1"/>
  <c r="CV75" i="21"/>
  <c r="DA65"/>
  <c r="DA75" s="1"/>
  <c r="DV65"/>
  <c r="DV75" s="1"/>
  <c r="DU75"/>
  <c r="IU33" i="20"/>
  <c r="IU36" s="1"/>
  <c r="IR36"/>
  <c r="DD33"/>
  <c r="DA36"/>
  <c r="CF69" i="21"/>
  <c r="CF75" s="1"/>
  <c r="CA75"/>
  <c r="FE65"/>
  <c r="FE75" s="1"/>
  <c r="EZ75"/>
  <c r="J66" i="27"/>
  <c r="J68" s="1"/>
  <c r="J70" s="1"/>
  <c r="J72" s="1"/>
  <c r="AE62"/>
  <c r="AE66" s="1"/>
  <c r="AE68" s="1"/>
  <c r="AE70" s="1"/>
  <c r="AE72" s="1"/>
  <c r="X73" i="14"/>
  <c r="X75" s="1"/>
  <c r="X79" s="1"/>
  <c r="X67"/>
  <c r="X77" s="1"/>
  <c r="Y65"/>
  <c r="AC67"/>
  <c r="AC77" s="1"/>
  <c r="AC73"/>
  <c r="AC75" s="1"/>
  <c r="AD65"/>
  <c r="AM74"/>
  <c r="AQ74"/>
  <c r="AB67"/>
  <c r="AB77" s="1"/>
  <c r="AB73"/>
  <c r="AB75" s="1"/>
  <c r="AV67"/>
  <c r="AV77" s="1"/>
  <c r="AW65"/>
  <c r="AR56"/>
  <c r="AR60" s="1"/>
  <c r="AG67"/>
  <c r="AG77" s="1"/>
  <c r="AG73"/>
  <c r="AG75" s="1"/>
  <c r="FB33" i="20"/>
  <c r="FB36" s="1"/>
  <c r="FA36"/>
  <c r="AT33"/>
  <c r="AT36" s="1"/>
  <c r="AS36"/>
  <c r="E66" i="14"/>
  <c r="D74"/>
  <c r="D77"/>
  <c r="FS42" i="21"/>
  <c r="BF20" i="25"/>
  <c r="Q68" i="27"/>
  <c r="Q70" s="1"/>
  <c r="Q72" s="1"/>
  <c r="DA22" i="21"/>
  <c r="AS75"/>
  <c r="AE10" i="27"/>
  <c r="AE14" s="1"/>
  <c r="AE16" s="1"/>
  <c r="AE18" s="1"/>
  <c r="AE20" s="1"/>
  <c r="AS66" i="14"/>
  <c r="AW66"/>
  <c r="AN66"/>
  <c r="AM65"/>
  <c r="AX56"/>
  <c r="AX60" s="1"/>
  <c r="AI66"/>
  <c r="Q16" i="27"/>
  <c r="Q18" s="1"/>
  <c r="Q20" s="1"/>
  <c r="AT66" i="14"/>
  <c r="AG79"/>
  <c r="GC36" i="20"/>
  <c r="C66" i="21"/>
  <c r="C42"/>
  <c r="B71"/>
  <c r="G71" s="1"/>
  <c r="G38"/>
  <c r="G5"/>
  <c r="G7" s="1"/>
  <c r="B7"/>
  <c r="F235" i="29"/>
  <c r="D60" i="6" s="1"/>
  <c r="G60" s="1"/>
  <c r="L56" i="4" s="1"/>
  <c r="G26" i="6"/>
  <c r="L21" i="4" s="1"/>
  <c r="C14" i="21"/>
  <c r="G13"/>
  <c r="G20"/>
  <c r="G21" s="1"/>
  <c r="C21"/>
  <c r="C56" s="1"/>
  <c r="C69"/>
  <c r="G69" s="1"/>
  <c r="C24"/>
  <c r="G24" s="1"/>
  <c r="G31"/>
  <c r="B66"/>
  <c r="B70"/>
  <c r="G70" s="1"/>
  <c r="G35"/>
  <c r="F29"/>
  <c r="F65" s="1"/>
  <c r="F75" s="1"/>
  <c r="B65"/>
  <c r="G29"/>
  <c r="B14"/>
  <c r="B22" s="1"/>
  <c r="G11"/>
  <c r="H27" i="6"/>
  <c r="L22" i="4"/>
  <c r="P22" s="1"/>
  <c r="Q22" s="1"/>
  <c r="G20" i="8"/>
  <c r="D32"/>
  <c r="D46" s="1"/>
  <c r="D47" s="1"/>
  <c r="O18" i="4"/>
  <c r="P18" s="1"/>
  <c r="Q18" s="1"/>
  <c r="H20" i="6"/>
  <c r="G32"/>
  <c r="L15" i="4"/>
  <c r="O20"/>
  <c r="P20" s="1"/>
  <c r="Q20" s="1"/>
  <c r="D57" i="6"/>
  <c r="G58"/>
  <c r="L30" i="4"/>
  <c r="H35" i="6"/>
  <c r="I35" s="1"/>
  <c r="G44"/>
  <c r="H44" s="1"/>
  <c r="F93" i="7"/>
  <c r="F105" s="1"/>
  <c r="D60" i="8" s="1"/>
  <c r="F84" i="7"/>
  <c r="H26" i="6"/>
  <c r="I27" s="1"/>
  <c r="O35" i="4"/>
  <c r="P35" s="1"/>
  <c r="Q35" s="1"/>
  <c r="O32"/>
  <c r="P32" s="1"/>
  <c r="Q32" s="1"/>
  <c r="L46"/>
  <c r="H51" i="6"/>
  <c r="O9" i="4"/>
  <c r="P9" s="1"/>
  <c r="Q9" s="1"/>
  <c r="N48"/>
  <c r="N30"/>
  <c r="N39" s="1"/>
  <c r="G44" i="8"/>
  <c r="H36"/>
  <c r="D44" i="6"/>
  <c r="D46" s="1"/>
  <c r="D47" s="1"/>
  <c r="P25" i="4"/>
  <c r="Q25" s="1"/>
  <c r="G66" i="21" l="1"/>
  <c r="F39" i="10"/>
  <c r="H60" i="6"/>
  <c r="G65" i="21"/>
  <c r="G75" s="1"/>
  <c r="AT74" i="14"/>
  <c r="AI74"/>
  <c r="AJ66"/>
  <c r="AN74"/>
  <c r="AS74"/>
  <c r="E74"/>
  <c r="E77"/>
  <c r="E67"/>
  <c r="Y67"/>
  <c r="Y77" s="1"/>
  <c r="Y73"/>
  <c r="Y75" s="1"/>
  <c r="Y79" s="1"/>
  <c r="DE33" i="20"/>
  <c r="DE36" s="1"/>
  <c r="DD36"/>
  <c r="N77" i="14"/>
  <c r="O66"/>
  <c r="N74"/>
  <c r="N67"/>
  <c r="AY66"/>
  <c r="AQ73"/>
  <c r="AQ75" s="1"/>
  <c r="AQ67"/>
  <c r="AQ77" s="1"/>
  <c r="R74"/>
  <c r="S66"/>
  <c r="DL33" i="20"/>
  <c r="DL36" s="1"/>
  <c r="DK36"/>
  <c r="BA33"/>
  <c r="BA36" s="1"/>
  <c r="AZ36"/>
  <c r="AM67" i="14"/>
  <c r="AM77" s="1"/>
  <c r="AM73"/>
  <c r="AM75" s="1"/>
  <c r="AM79" s="1"/>
  <c r="AN65"/>
  <c r="D79"/>
  <c r="D75"/>
  <c r="AW67"/>
  <c r="AX65"/>
  <c r="AD67"/>
  <c r="AD73"/>
  <c r="AE65"/>
  <c r="M75"/>
  <c r="M79" s="1"/>
  <c r="I67"/>
  <c r="I77" s="1"/>
  <c r="J65"/>
  <c r="I73"/>
  <c r="I75" s="1"/>
  <c r="I79" s="1"/>
  <c r="AI67"/>
  <c r="AI77" s="1"/>
  <c r="AI73"/>
  <c r="AJ56"/>
  <c r="AJ60" s="1"/>
  <c r="AJ65"/>
  <c r="Z56"/>
  <c r="Z60" s="1"/>
  <c r="Z65"/>
  <c r="Q67"/>
  <c r="Q77" s="1"/>
  <c r="Q73"/>
  <c r="Q75" s="1"/>
  <c r="Q79" s="1"/>
  <c r="R65"/>
  <c r="AD74"/>
  <c r="AD77"/>
  <c r="AE66"/>
  <c r="H22" i="6"/>
  <c r="I21" s="1"/>
  <c r="L17" i="4"/>
  <c r="P17" s="1"/>
  <c r="Q17" s="1"/>
  <c r="R16" s="1"/>
  <c r="AO66" i="14"/>
  <c r="AH75"/>
  <c r="AH79" s="1"/>
  <c r="AW77"/>
  <c r="AR65"/>
  <c r="AQ79"/>
  <c r="AB79"/>
  <c r="AC79"/>
  <c r="G14" i="21"/>
  <c r="G22" s="1"/>
  <c r="G42"/>
  <c r="R36" i="4"/>
  <c r="B75" i="21"/>
  <c r="C75"/>
  <c r="C22"/>
  <c r="O21" i="4"/>
  <c r="P21" s="1"/>
  <c r="Q21" s="1"/>
  <c r="R23" s="1"/>
  <c r="L54"/>
  <c r="P54" s="1"/>
  <c r="Q54" s="1"/>
  <c r="H58" i="6"/>
  <c r="L27" i="4"/>
  <c r="G32" i="8"/>
  <c r="G46" s="1"/>
  <c r="G47" s="1"/>
  <c r="N15" i="4"/>
  <c r="N27" s="1"/>
  <c r="N41" s="1"/>
  <c r="N42" s="1"/>
  <c r="P48"/>
  <c r="Q48" s="1"/>
  <c r="L77"/>
  <c r="P77" s="1"/>
  <c r="P46"/>
  <c r="G60" i="8"/>
  <c r="D63"/>
  <c r="L39" i="4"/>
  <c r="P30"/>
  <c r="G57" i="6"/>
  <c r="D63"/>
  <c r="H32"/>
  <c r="G46"/>
  <c r="E39" i="10" l="1"/>
  <c r="C39"/>
  <c r="AO74" i="14"/>
  <c r="R73"/>
  <c r="R75" s="1"/>
  <c r="S65"/>
  <c r="R67"/>
  <c r="R77" s="1"/>
  <c r="J67"/>
  <c r="J77" s="1"/>
  <c r="J73"/>
  <c r="J75" s="1"/>
  <c r="J79" s="1"/>
  <c r="AE67"/>
  <c r="AE73"/>
  <c r="S74"/>
  <c r="T66"/>
  <c r="N79"/>
  <c r="N75"/>
  <c r="AJ74"/>
  <c r="AR73"/>
  <c r="AR75" s="1"/>
  <c r="AR79" s="1"/>
  <c r="AR67"/>
  <c r="AR77" s="1"/>
  <c r="AS65"/>
  <c r="AE77"/>
  <c r="AE74"/>
  <c r="Z67"/>
  <c r="Z77" s="1"/>
  <c r="Z73"/>
  <c r="Z75" s="1"/>
  <c r="Z79" s="1"/>
  <c r="AJ67"/>
  <c r="AJ77" s="1"/>
  <c r="AJ73"/>
  <c r="AJ75" s="1"/>
  <c r="AY65"/>
  <c r="AY67" s="1"/>
  <c r="AX67"/>
  <c r="AX77" s="1"/>
  <c r="AN73"/>
  <c r="AN75" s="1"/>
  <c r="AO65"/>
  <c r="AN67"/>
  <c r="AN77" s="1"/>
  <c r="O77"/>
  <c r="O67"/>
  <c r="O74"/>
  <c r="E75"/>
  <c r="E79" s="1"/>
  <c r="R79"/>
  <c r="AN79"/>
  <c r="AI75"/>
  <c r="AI79" s="1"/>
  <c r="AD75"/>
  <c r="AD79" s="1"/>
  <c r="AY77"/>
  <c r="O42" i="4"/>
  <c r="L41"/>
  <c r="L42" s="1"/>
  <c r="G47" i="6"/>
  <c r="H47" s="1"/>
  <c r="H46"/>
  <c r="P39" i="4"/>
  <c r="Q39" s="1"/>
  <c r="Q30"/>
  <c r="R30" s="1"/>
  <c r="L53"/>
  <c r="H57" i="6"/>
  <c r="G63"/>
  <c r="N56" i="4"/>
  <c r="G63" i="8"/>
  <c r="G76" s="1"/>
  <c r="G78" s="1"/>
  <c r="Q46" i="4"/>
  <c r="P15"/>
  <c r="D76" i="6"/>
  <c r="D78" s="1"/>
  <c r="D80"/>
  <c r="D76" i="8"/>
  <c r="D78" s="1"/>
  <c r="D80"/>
  <c r="O75" i="14" l="1"/>
  <c r="O79" s="1"/>
  <c r="AO73"/>
  <c r="AO75" s="1"/>
  <c r="AO67"/>
  <c r="AO77" s="1"/>
  <c r="AS73"/>
  <c r="AS75" s="1"/>
  <c r="AS79" s="1"/>
  <c r="AS67"/>
  <c r="AS77" s="1"/>
  <c r="AT65"/>
  <c r="T74"/>
  <c r="AJ79"/>
  <c r="AE75"/>
  <c r="AE79" s="1"/>
  <c r="AO79"/>
  <c r="S67"/>
  <c r="S77" s="1"/>
  <c r="S73"/>
  <c r="S75" s="1"/>
  <c r="T65"/>
  <c r="S79"/>
  <c r="O56" i="4"/>
  <c r="O72" s="1"/>
  <c r="O74" s="1"/>
  <c r="N59"/>
  <c r="Q15"/>
  <c r="P27"/>
  <c r="H63" i="6"/>
  <c r="G76"/>
  <c r="G80"/>
  <c r="P53" i="4"/>
  <c r="L59"/>
  <c r="AT73" i="14" l="1"/>
  <c r="AT75" s="1"/>
  <c r="AT79" s="1"/>
  <c r="AT67"/>
  <c r="AT77" s="1"/>
  <c r="T73"/>
  <c r="T75" s="1"/>
  <c r="T67"/>
  <c r="T77" s="1"/>
  <c r="T79"/>
  <c r="P56" i="4"/>
  <c r="Q53"/>
  <c r="R53" s="1"/>
  <c r="P59"/>
  <c r="H76" i="6"/>
  <c r="H78" s="1"/>
  <c r="G78"/>
  <c r="P41" i="4"/>
  <c r="Q27"/>
  <c r="L72"/>
  <c r="L74" s="1"/>
  <c r="L76"/>
  <c r="N72"/>
  <c r="N74" s="1"/>
  <c r="N76"/>
  <c r="Q59" l="1"/>
  <c r="P76"/>
  <c r="P72"/>
  <c r="P42"/>
  <c r="Q42" s="1"/>
  <c r="Q41"/>
  <c r="Q72" l="1"/>
  <c r="Q74" s="1"/>
  <c r="P74"/>
</calcChain>
</file>

<file path=xl/comments1.xml><?xml version="1.0" encoding="utf-8"?>
<comments xmlns="http://schemas.openxmlformats.org/spreadsheetml/2006/main">
  <authors>
    <author>alcheng</author>
    <author>alcom</author>
    <author>lohp</author>
  </authors>
  <commentList>
    <comment ref="HX10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adj 13K for reclassed
to Cogs. Refer a/c 2000 
5501500000</t>
        </r>
      </text>
    </comment>
    <comment ref="IE10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adj 13K for reclassed
to Cogs. Refer a/c 2000 
5501500000</t>
        </r>
      </text>
    </comment>
    <comment ref="HW11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TLV - charge to Alcom</t>
        </r>
      </text>
    </comment>
    <comment ref="ID11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TLV - charge to Alcom&amp;
coated scrap revenue
2852</t>
        </r>
      </text>
    </comment>
    <comment ref="IR11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coated scrap
</t>
        </r>
      </text>
    </comment>
    <comment ref="F13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MC+DC+PC+OME+SAE-bank charges-exchange gain+other operating exp</t>
        </r>
      </text>
    </comment>
    <comment ref="H13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unrealised gain from FX contracts revaluation not recognise in FY10</t>
        </r>
      </text>
    </comment>
    <comment ref="I13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reversal of previously unrecognise unrealised gain from FX revaluation</t>
        </r>
      </text>
    </comment>
    <comment ref="M13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MC+DC+PC+OME+SAE-bank charges-exchange gain+other operating exp
</t>
        </r>
      </text>
    </comment>
    <comment ref="O13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do not recognise unrealised loss from FX contracts revaluation</t>
        </r>
      </text>
    </comment>
    <comment ref="P13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reversal of previously unrecognise unrealised gain from FX revaluation</t>
        </r>
      </text>
    </comment>
    <comment ref="AA13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MC+DC+PC+OME+SAE-bank charges-exchange gain+other operating exp (for this Q, FX gain in Other Op Income)
</t>
        </r>
      </text>
    </comment>
    <comment ref="AC13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unrealised gain from FX contracts revaluation not recognise in FY10</t>
        </r>
      </text>
    </comment>
    <comment ref="AD13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reversal of previously unrecognise unrealised gain from FX revaluation</t>
        </r>
      </text>
    </comment>
    <comment ref="AH13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MC+DC+PC+OME+SAE-bank charges-exchange gain+other operating exp
</t>
        </r>
      </text>
    </comment>
    <comment ref="AJ13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unrealised gain from FX contracts revaluation not recognise in FY10</t>
        </r>
      </text>
    </comment>
    <comment ref="AK13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reversal of previously unrecognise unrealised gain from FX revaluation</t>
        </r>
      </text>
    </comment>
    <comment ref="AO13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MC+DC+PC+OME+SAE-bank charges-exchange gain+other operating exp
</t>
        </r>
      </text>
    </comment>
    <comment ref="AQ13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unrealised gain from FX contracts revaluation not recognise in FY10</t>
        </r>
      </text>
    </comment>
    <comment ref="AR13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reversal of previously unrecognise unrealised gain from FX revaluation</t>
        </r>
      </text>
    </comment>
    <comment ref="AV13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MC+DC+PC+OME+SAE-bank charges-exchange gain+other operating exp
</t>
        </r>
      </text>
    </comment>
    <comment ref="AX13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unrealised gain from FX contracts revaluation not recognise in FY10</t>
        </r>
      </text>
    </comment>
    <comment ref="AY13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reversal of previously unrecognise unrealised gain from FX revaluation</t>
        </r>
      </text>
    </comment>
    <comment ref="BC13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MC+DC+PC+OME+SAE-bank charges-exchange gain+other operating exp
</t>
        </r>
      </text>
    </comment>
    <comment ref="BE13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do not recognise unrealised gain from FX contracts revaluation</t>
        </r>
      </text>
    </comment>
    <comment ref="BF13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reversal of previously unrecognise unrealised gain from FX revaluation</t>
        </r>
      </text>
    </comment>
    <comment ref="BJ13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MC+DC+PC+OME+SAE-bank charges-exchange gain+other operating exp
</t>
        </r>
      </text>
    </comment>
    <comment ref="BL13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do not recognise unrealised loss from FX contracts revaluation</t>
        </r>
      </text>
    </comment>
    <comment ref="BM13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reversal of previously unrecognise unrealised gain from FX revaluation</t>
        </r>
      </text>
    </comment>
    <comment ref="BQ13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MC+DC+PC+OME+SAE-bank charges-exchange gain+other operating exp
</t>
        </r>
      </text>
    </comment>
    <comment ref="BS13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do not recognise unrealised loss from FX contracts revaluation</t>
        </r>
      </text>
    </comment>
    <comment ref="BT13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reversal of previously unrecognise unrealised gain from FX revaluation</t>
        </r>
      </text>
    </comment>
    <comment ref="BX13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MC+DC+PC+OME+SAE-bank charges-exchange gain+other operating exp
</t>
        </r>
      </text>
    </comment>
    <comment ref="BZ13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do not recognise unrealised loss from FX contracts revaluation</t>
        </r>
      </text>
    </comment>
    <comment ref="CA13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reversal of previously unrecognise unrealised gain from FX revaluation</t>
        </r>
      </text>
    </comment>
    <comment ref="CE13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MC+DC+PC+OME+SAE-bank charges-exchange gain+other operating exp
</t>
        </r>
      </text>
    </comment>
    <comment ref="CG13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do not recognise unrealised loss from FX contracts revaluation</t>
        </r>
      </text>
    </comment>
    <comment ref="CH13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reversal of previously unrecognise unrealised gain from FX revaluation</t>
        </r>
      </text>
    </comment>
    <comment ref="CL13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MC+DC+PC+OME+SAE-bank charges-exchange gain+other operating exp
</t>
        </r>
      </text>
    </comment>
    <comment ref="CN13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do not recognise unrealised loss from FX contracts revaluation</t>
        </r>
      </text>
    </comment>
    <comment ref="CO13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reversal of previously unrecognise unrealised gain from FX revaluation</t>
        </r>
      </text>
    </comment>
    <comment ref="CS13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MC+DC+PC+OME+SAE-bank charges-exchange gain+other operating exp
</t>
        </r>
      </text>
    </comment>
    <comment ref="CV13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reversal of previously unrecognise unrealised gain from FX revaluation</t>
        </r>
      </text>
    </comment>
    <comment ref="CZ13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MC+DC+PC+OME+SAE-bank charges-exchange gain+other operating exp
</t>
        </r>
      </text>
    </comment>
    <comment ref="DC13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reversal of previously unrecognise unrealised gain from FX revaluation</t>
        </r>
      </text>
    </comment>
    <comment ref="DG13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MC+DC+PC+OME+SAE-bank charges-exchange gain+other operating exp</t>
        </r>
      </text>
    </comment>
    <comment ref="DJ13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do not recognise unrealised gain from FX revaluation</t>
        </r>
      </text>
    </comment>
    <comment ref="DN13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MC+DC+PC+OME+SAE-bank charges-exchange gain+other operating exp
</t>
        </r>
      </text>
    </comment>
    <comment ref="DU13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MC+DC+PC+OME+SAE-bank charges-exchange gain+other operating exp
</t>
        </r>
      </text>
    </comment>
    <comment ref="EB13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MC+DC+PC+OME+SAE-bank charges-exchange gain+other operating exp
</t>
        </r>
      </text>
    </comment>
    <comment ref="EI13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MC+DC+PC+OME+SAE-bank charges-exchange gain+other operating exp
</t>
        </r>
      </text>
    </comment>
    <comment ref="EP13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MC+DC+PC+OME+SAE-bank charges-exchange gain+other operating exp
</t>
        </r>
      </text>
    </comment>
    <comment ref="EW13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MC+DC+PC+OME+SAE-bank charges-exchange gain+other operating exp
</t>
        </r>
      </text>
    </comment>
    <comment ref="FD13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MC+DC+PC+OME+SAE-bank charges-exchange gain+other operating exp
</t>
        </r>
      </text>
    </comment>
    <comment ref="FK13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MC+DC+PC+OME+SAE-bank charges-exchange gain+other operating exp
</t>
        </r>
      </text>
    </comment>
    <comment ref="FR13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MC+DC+PC+OME+SAE-bank charges-exchange gain+other operating exp
</t>
        </r>
      </text>
    </comment>
    <comment ref="FY13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MC+DC+PC+OME+SAE-bank charges-exchange gain+other operating exp
</t>
        </r>
      </text>
    </comment>
    <comment ref="GF13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MC+DC+PC+OME+SAE-bank charges-exchange gain+other operating exp
</t>
        </r>
      </text>
    </comment>
    <comment ref="GM13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MC+DC+PC+OME+SAE-bank charges-exchange gain+other operating exp
</t>
        </r>
      </text>
    </comment>
    <comment ref="GT13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MC+DC+PC+OME+SAE-bank charges-exchange gain+other operating exp
</t>
        </r>
      </text>
    </comment>
    <comment ref="HA13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MC+DC+PC+OME+SAE-bank charges-exchange gain+other operating exp
</t>
        </r>
      </text>
    </comment>
    <comment ref="HH13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MC+DC+PC+OME+SAE-bank charges-exchange gain+other operating exp
</t>
        </r>
      </text>
    </comment>
    <comment ref="HO13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MC+DC+PC+SAE-bank
Charges+Exchange
+other operating  exp
</t>
        </r>
      </text>
    </comment>
    <comment ref="HV13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MC+DC+PC+SAE-bank
Charges+Exchange
+other operating  exp
</t>
        </r>
      </text>
    </comment>
    <comment ref="HX13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cogs, SAE less Bank charge, add exchange
and other ope exp ie
jobbing cost, scrapcost , bad debt </t>
        </r>
      </text>
    </comment>
    <comment ref="IC13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MC+DC+PC+SAE-bank
Charges+Exchange
+other operating  exp
</t>
        </r>
      </text>
    </comment>
    <comment ref="IE13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cogs, SAE less Bank charge, add exchange
and other ope exp ie
jobbing cost, scrapcost , bad debt </t>
        </r>
      </text>
    </comment>
    <comment ref="IR13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included 1014k cost of coated scrap sold- 
disclose as revenue &amp; cost from 2004</t>
        </r>
      </text>
    </comment>
    <comment ref="HW17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Interest inc 190
Gain on disposal 20
Gas rebates 40</t>
        </r>
      </text>
    </comment>
  </commentList>
</comments>
</file>

<file path=xl/comments10.xml><?xml version="1.0" encoding="utf-8"?>
<comments xmlns="http://schemas.openxmlformats.org/spreadsheetml/2006/main">
  <authors>
    <author>alcheng</author>
  </authors>
  <commentList>
    <comment ref="O56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MI in ANSC &amp; unrealised
profit on Alcom sale to
ANSC</t>
        </r>
      </text>
    </comment>
  </commentList>
</comments>
</file>

<file path=xl/comments2.xml><?xml version="1.0" encoding="utf-8"?>
<comments xmlns="http://schemas.openxmlformats.org/spreadsheetml/2006/main">
  <authors>
    <author>Patrick</author>
  </authors>
  <commentList>
    <comment ref="O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excl sales to Alcom</t>
        </r>
      </text>
    </comment>
    <comment ref="AA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B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F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H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I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J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K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N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O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P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Q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T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U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O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excl sales to Alcom</t>
        </r>
      </text>
    </comment>
    <comment ref="AA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B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F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H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I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J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K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N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O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P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Q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T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U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</commentList>
</comments>
</file>

<file path=xl/comments3.xml><?xml version="1.0" encoding="utf-8"?>
<comments xmlns="http://schemas.openxmlformats.org/spreadsheetml/2006/main">
  <authors>
    <author>alcheng</author>
  </authors>
  <commentList>
    <comment ref="G10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included coated scrap rev  821k</t>
        </r>
      </text>
    </comment>
    <comment ref="N10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included coated scrap rev  733k</t>
        </r>
      </text>
    </comment>
    <comment ref="U10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included coated scrap rev  1105
k</t>
        </r>
      </text>
    </comment>
  </commentList>
</comments>
</file>

<file path=xl/comments4.xml><?xml version="1.0" encoding="utf-8"?>
<comments xmlns="http://schemas.openxmlformats.org/spreadsheetml/2006/main">
  <authors>
    <author>alcheng</author>
  </authors>
  <commentList>
    <comment ref="AH10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included coated scrap rev  821k</t>
        </r>
      </text>
    </comment>
    <comment ref="AO10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included coated scrap rev  733k</t>
        </r>
      </text>
    </comment>
    <comment ref="AV10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included coated scrap rev  1105
k</t>
        </r>
      </text>
    </comment>
    <comment ref="D31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 payment of
VSS 8063K</t>
        </r>
      </text>
    </comment>
    <comment ref="D32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dies</t>
        </r>
      </text>
    </comment>
  </commentList>
</comments>
</file>

<file path=xl/comments5.xml><?xml version="1.0" encoding="utf-8"?>
<comments xmlns="http://schemas.openxmlformats.org/spreadsheetml/2006/main">
  <authors>
    <author>alcheng</author>
  </authors>
  <commentList>
    <comment ref="K3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depr of inter co vehicle
in AESB 6980*6
</t>
        </r>
      </text>
    </comment>
    <comment ref="K11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depr of inter co vehicle
in AESB 6980*11+3490
</t>
        </r>
      </text>
    </comment>
    <comment ref="K12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depr of inter co vehicle
in AESB 6980*6
</t>
        </r>
      </text>
    </comment>
    <comment ref="M34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ANSC 43000
AAS17330
ALCOM325000
</t>
        </r>
      </text>
    </comment>
  </commentList>
</comments>
</file>

<file path=xl/comments6.xml><?xml version="1.0" encoding="utf-8"?>
<comments xmlns="http://schemas.openxmlformats.org/spreadsheetml/2006/main">
  <authors>
    <author>Patrick</author>
    <author>alcom</author>
    <author>lohp</author>
    <author>alcheng</author>
  </authors>
  <commentList>
    <comment ref="CO16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incl sales of hardener to Korea in Feb07 of RM97042</t>
        </r>
      </text>
    </comment>
    <comment ref="CV16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incl sales of hardener to Korea in Feb07 of RM97042</t>
        </r>
      </text>
    </comment>
    <comment ref="DC16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incl sales of hardener to Korea in Feb07 of RM97042</t>
        </r>
      </text>
    </comment>
    <comment ref="DJ16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incl sales of hardener to Korea in Feb07 of RM97042</t>
        </r>
      </text>
    </comment>
    <comment ref="DQ16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incl sales of hardener to Korea in Feb07 of RM97042</t>
        </r>
      </text>
    </comment>
    <comment ref="GI19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incl LG refund of RM96522.25</t>
        </r>
      </text>
    </comment>
    <comment ref="GP19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incl LG refund of RM96522.25</t>
        </r>
      </text>
    </comment>
    <comment ref="B38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Deposit forfeited 10K</t>
        </r>
      </text>
    </comment>
    <comment ref="W38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Interest charged for warehouse uses 5
Insurance claim 18
Tropicana m/ship sold 9</t>
        </r>
      </text>
    </comment>
    <comment ref="AD38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interest charged for warehouse uses 5</t>
        </r>
      </text>
    </comment>
    <comment ref="AK38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sale of defective coil 27
insurance claim 29
interest charged for warehouse uses 207</t>
        </r>
      </text>
    </comment>
    <comment ref="AL38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payment of sample chrg out in FY09 RM11K</t>
        </r>
      </text>
    </comment>
    <comment ref="AR38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sale of defective coil 27
insurance claim 29
interest charged for warehouse uses 167</t>
        </r>
      </text>
    </comment>
    <comment ref="AS38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payment of sample chrg out in FY09 RM11K</t>
        </r>
      </text>
    </comment>
    <comment ref="AY38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sale of defective coil 27
insurance claim 29</t>
        </r>
      </text>
    </comment>
    <comment ref="AZ38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payment of sample chrg out in FY09 RM11K</t>
        </r>
      </text>
    </comment>
    <comment ref="BF38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sale of defective coil 27
insurance claim 29</t>
        </r>
      </text>
    </comment>
    <comment ref="BG38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payment of sample chrg out in FY09 RM11K</t>
        </r>
      </text>
    </comment>
    <comment ref="BM38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PM Excellence Award 50000
Customers deposits forfeited 10271</t>
        </r>
      </text>
    </comment>
    <comment ref="BN38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PHAAM CN cancel
</t>
        </r>
      </text>
    </comment>
    <comment ref="BT38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deposit forfieted</t>
        </r>
      </text>
    </comment>
    <comment ref="BU38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PHAAM CN cancel
</t>
        </r>
      </text>
    </comment>
    <comment ref="CA38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deposit forfieted</t>
        </r>
      </text>
    </comment>
    <comment ref="EZ39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incl LG refund of RM96522.25</t>
        </r>
      </text>
    </comment>
    <comment ref="FG39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incl LG refund of RM96522.25</t>
        </r>
      </text>
    </comment>
    <comment ref="FN39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incl LG refund of RM96522.25</t>
        </r>
      </text>
    </comment>
    <comment ref="FU39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incl LG refund of RM96522.25</t>
        </r>
      </text>
    </comment>
    <comment ref="GB39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incl LG refund of RM96522.25</t>
        </r>
      </text>
    </comment>
    <comment ref="CV45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incl sales of hardener to Korea in Feb07 of RM97042</t>
        </r>
      </text>
    </comment>
    <comment ref="DC45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incl sales of hardener to Korea in Feb07 of RM97042</t>
        </r>
      </text>
    </comment>
    <comment ref="DJ45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incl sales of hardener to Korea in Feb07 of RM97042</t>
        </r>
      </text>
    </comment>
    <comment ref="DQ45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incl sales of hardener to Korea in Feb07 of RM97042</t>
        </r>
      </text>
    </comment>
    <comment ref="FG51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 2006.86 AESB
debt w/off</t>
        </r>
      </text>
    </comment>
    <comment ref="FN51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 2006.86 AESB
debt w/off</t>
        </r>
      </text>
    </comment>
    <comment ref="FU51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 2006.86 AESB
debt w/off</t>
        </r>
      </text>
    </comment>
    <comment ref="GB51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 2006.86 AESB
debt w/off</t>
        </r>
      </text>
    </comment>
    <comment ref="GI51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 2006.86 AESB
debt w/off</t>
        </r>
      </text>
    </comment>
    <comment ref="GP51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 2006.86 AESB
debt w/off</t>
        </r>
      </text>
    </comment>
    <comment ref="GW51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 2006.86 AESB
debt w/off</t>
        </r>
      </text>
    </comment>
    <comment ref="B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I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P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W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AD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AK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AR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AY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BF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BM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BT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CA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CH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CO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CV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DC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DJ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DQ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DX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EE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EL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ES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EZ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FG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FN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FU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GB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GI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GP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GW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</commentList>
</comments>
</file>

<file path=xl/comments7.xml><?xml version="1.0" encoding="utf-8"?>
<comments xmlns="http://schemas.openxmlformats.org/spreadsheetml/2006/main">
  <authors>
    <author>lohp</author>
  </authors>
  <commentList>
    <comment ref="F57" authorId="0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FY2008 adjustment of unrecognised FX contracts gain</t>
        </r>
      </text>
    </comment>
  </commentList>
</comments>
</file>

<file path=xl/comments8.xml><?xml version="1.0" encoding="utf-8"?>
<comments xmlns="http://schemas.openxmlformats.org/spreadsheetml/2006/main">
  <authors>
    <author>lohp</author>
  </authors>
  <commentList>
    <comment ref="F197" authorId="0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for LTIP</t>
        </r>
      </text>
    </comment>
  </commentList>
</comments>
</file>

<file path=xl/comments9.xml><?xml version="1.0" encoding="utf-8"?>
<comments xmlns="http://schemas.openxmlformats.org/spreadsheetml/2006/main">
  <authors>
    <author>lohp</author>
  </authors>
  <commentList>
    <comment ref="E35" authorId="0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advance pymts </t>
        </r>
      </text>
    </comment>
  </commentList>
</comments>
</file>

<file path=xl/sharedStrings.xml><?xml version="1.0" encoding="utf-8"?>
<sst xmlns="http://schemas.openxmlformats.org/spreadsheetml/2006/main" count="15428" uniqueCount="2648">
  <si>
    <t>ALCOM</t>
  </si>
  <si>
    <t>Stat a/c</t>
  </si>
  <si>
    <t xml:space="preserve">Stat </t>
  </si>
  <si>
    <t>ACCOUNT</t>
  </si>
  <si>
    <t>PC</t>
  </si>
  <si>
    <t>DESCRIPTION</t>
  </si>
  <si>
    <t>cash&amp;bank</t>
  </si>
  <si>
    <t>PETTY CASH - FOR CURRENCY</t>
  </si>
  <si>
    <t>PETTY CASH</t>
  </si>
  <si>
    <t>TIME DEP-MAYBANK DISC</t>
  </si>
  <si>
    <t>MBB-OVERDRAFT</t>
  </si>
  <si>
    <t>MBB Foreign Currency a/c</t>
  </si>
  <si>
    <t>STD CHART-OVERDRAFT</t>
  </si>
  <si>
    <t>BANK BUMI-OVERDRAFT-SEC14</t>
  </si>
  <si>
    <t>MBB - SALARY</t>
  </si>
  <si>
    <t>cash&amp;bank Total</t>
  </si>
  <si>
    <t>equity</t>
  </si>
  <si>
    <t>PAID UP CAPITAL</t>
  </si>
  <si>
    <t>UNAPPROPRIATED P/(LOSS)</t>
  </si>
  <si>
    <t>SHARE PREM RESERVE(ORD)</t>
  </si>
  <si>
    <t>SHARE PREM RESERVE(ESOS)</t>
  </si>
  <si>
    <t>REVALUATION-CAP-RESERVES</t>
  </si>
  <si>
    <t>Cap Redemption Reserve</t>
  </si>
  <si>
    <t>Treasury Shares at cost</t>
  </si>
  <si>
    <t>equity Total</t>
  </si>
  <si>
    <t>fa</t>
  </si>
  <si>
    <t>LEASEHOLD LAND -BR</t>
  </si>
  <si>
    <t>LEASEHOLD LAND -PJ</t>
  </si>
  <si>
    <t>REVALUATION LAND-BR</t>
  </si>
  <si>
    <t>REVALUATION LAND-PJ</t>
  </si>
  <si>
    <t>BUILDINGS -BR</t>
  </si>
  <si>
    <t>BUILDINGS -PJ</t>
  </si>
  <si>
    <t>REVALUATION BLD-PJ Corp</t>
  </si>
  <si>
    <t>REVALUATION BLD-BR</t>
  </si>
  <si>
    <t>REVALUATION BLD-PJ</t>
  </si>
  <si>
    <t>PLANT &amp; PROD. EQUIPMENT</t>
  </si>
  <si>
    <t>TELECOMMUNICATION EQUIPMT</t>
  </si>
  <si>
    <t>COMPUTER EQUIPMENT</t>
  </si>
  <si>
    <t>OFFICE FURNITURE,FIX&amp;FIT</t>
  </si>
  <si>
    <t>COMPANY VEHICLES</t>
  </si>
  <si>
    <t>CONSTR WIP-ROLLED PROD</t>
  </si>
  <si>
    <t>PROV-DEPR-LEASEHOLD LAND</t>
  </si>
  <si>
    <t>PRV-DEP-LEASEHOLD LAND PJ</t>
  </si>
  <si>
    <t>PROV-DEPR-BUILDINGS</t>
  </si>
  <si>
    <t>PROV-DEPR-BUILDINGS PJ</t>
  </si>
  <si>
    <t>PROV-DEPR-PLANT&amp;PROD EQMT</t>
  </si>
  <si>
    <t>PROV-DEPR-TELECOM. EQUIP</t>
  </si>
  <si>
    <t>PROV-DEPR-COMPUTER EQUIP</t>
  </si>
  <si>
    <t>PROV-DEPR-FURNITURE&amp;F&amp;FIT</t>
  </si>
  <si>
    <t>PROV-DEPR-CO. VEHICLES</t>
  </si>
  <si>
    <t>REV-DEPN -LAND-BR</t>
  </si>
  <si>
    <t>REV-DEPN -LAND-PJ</t>
  </si>
  <si>
    <t>REV-DEPR-BUILDINGS PJcorp</t>
  </si>
  <si>
    <t>REV-DEPN-BUILDINGS -BR</t>
  </si>
  <si>
    <t>REV-DEPN-BUILDINGS - PJ</t>
  </si>
  <si>
    <t>fa Total</t>
  </si>
  <si>
    <t>Inv-metal</t>
  </si>
  <si>
    <t>METAL IN TRANSIT</t>
  </si>
  <si>
    <t>RAW MAT-T INGOT/TRILOK</t>
  </si>
  <si>
    <t>RAW MAT-IMPORTED COIL</t>
  </si>
  <si>
    <t>Hardener - Iron (FE)</t>
  </si>
  <si>
    <t>Hardener - Manganese (MN)</t>
  </si>
  <si>
    <t>Hardener - Magnesium (MG)</t>
  </si>
  <si>
    <t>Hardener - Tibor (TI)</t>
  </si>
  <si>
    <t>Hardener - Copper (CU)</t>
  </si>
  <si>
    <t>Hardener - Silicon (SI)</t>
  </si>
  <si>
    <t>WIP-PLANT SCRAPS</t>
  </si>
  <si>
    <t>WIP-PURCHASED SCRAPS</t>
  </si>
  <si>
    <t>WIP-REROLL COIL</t>
  </si>
  <si>
    <t>FINISHED GOODS</t>
  </si>
  <si>
    <t>Provision for NRV</t>
  </si>
  <si>
    <t>Inv-metal Total</t>
  </si>
  <si>
    <t>Inv-store</t>
  </si>
  <si>
    <t>CHEMICALS</t>
  </si>
  <si>
    <t>FUEL/DIESEL/GAS</t>
  </si>
  <si>
    <t>PACKAGING MATERIALS</t>
  </si>
  <si>
    <t>SPARE PARTS &amp; ENG</t>
  </si>
  <si>
    <t>OPERATING SUPPLIES</t>
  </si>
  <si>
    <t>CASTER ROLL SHELL</t>
  </si>
  <si>
    <t>CERAMIC MATERIALS</t>
  </si>
  <si>
    <t>TIMBER SUPPLIES</t>
  </si>
  <si>
    <t>ENGINEERING SUPPLIES</t>
  </si>
  <si>
    <t>PROV - INV - OBSOLESCENCE</t>
  </si>
  <si>
    <t>Inv-store Total</t>
  </si>
  <si>
    <t>Payable</t>
  </si>
  <si>
    <t>O-Corp related</t>
  </si>
  <si>
    <t>PRICE W/HOUSE-YR END AUDI</t>
  </si>
  <si>
    <t>PROV-TAX CONSULTANCY FEE</t>
  </si>
  <si>
    <t>ALCOM SPORT CLUB-EXPENSES</t>
  </si>
  <si>
    <t>ALCOM SPORT CLUB-SUBS.</t>
  </si>
  <si>
    <t>PROV : AGM EXPENSES</t>
  </si>
  <si>
    <t>PROV-SECRETARIAL EXP</t>
  </si>
  <si>
    <t>PROV : LEGAL FEES</t>
  </si>
  <si>
    <t>PROV:SHARE REGISTRARS FEE</t>
  </si>
  <si>
    <t>ACCR-DIRECTORS FEE</t>
  </si>
  <si>
    <t>O-Others accrual&amp;S payables</t>
  </si>
  <si>
    <t>CANTEEN OPERATOR-DEPOSIT</t>
  </si>
  <si>
    <t>DEPOSIT RECEIVED-ASEANIA</t>
  </si>
  <si>
    <t>CRPS Holders Distribution</t>
  </si>
  <si>
    <t>Payable AP</t>
  </si>
  <si>
    <t>TRADE CREDITORS</t>
  </si>
  <si>
    <t>NON TRADE CREDITORS</t>
  </si>
  <si>
    <t>PROV:OTHER LIABILITIES</t>
  </si>
  <si>
    <t>ACCRUALS FOR STOCK ITEMS</t>
  </si>
  <si>
    <t>payroll</t>
  </si>
  <si>
    <t>PROV:VACATION PAY-SAL NU</t>
  </si>
  <si>
    <t>PROV:VACATN PAY-SAL UNION</t>
  </si>
  <si>
    <t>PROV:VACATION PAY - WAGES</t>
  </si>
  <si>
    <t>STAFF EXPENSES CLAIMS</t>
  </si>
  <si>
    <t>PAYROLL-WAGES-ADVANCE</t>
  </si>
  <si>
    <t>PAYROLL-WAGES &amp; OT PROV.</t>
  </si>
  <si>
    <t>PAYROLL-SAL(UNION)ADVANCE</t>
  </si>
  <si>
    <t>PAYROLL-SAL(UNION)OT PROV</t>
  </si>
  <si>
    <t>PAYROLL-SAL(NON-UNION)ADV</t>
  </si>
  <si>
    <t>PAYROLL-BONUS</t>
  </si>
  <si>
    <t>BONUS PROVISION - STAFF</t>
  </si>
  <si>
    <t>BONUS PROVISION - WAGES</t>
  </si>
  <si>
    <t>PAYROLL-OTHERS</t>
  </si>
  <si>
    <t>Rco-Payable</t>
  </si>
  <si>
    <t>RENTAL DEPOSIT - ANSC</t>
  </si>
  <si>
    <t>Rco-payable</t>
  </si>
  <si>
    <t>ALCAN GROUP COMPANIES</t>
  </si>
  <si>
    <t>ALCOM GROUP COMPANIES</t>
  </si>
  <si>
    <t>MISC.PAYABLE-AAS</t>
  </si>
  <si>
    <t>T-Plant and Sales Related Accruals &amp; paybles</t>
  </si>
  <si>
    <t>PROV:SVC FEE-TECH&amp;MANAGMN</t>
  </si>
  <si>
    <t>PROV:TECHNICAL FEE-W/TAX</t>
  </si>
  <si>
    <t>PROV:SAFETY INC SCHEME-RP</t>
  </si>
  <si>
    <t>PROV:S/DOWN MAINT EXP-BR</t>
  </si>
  <si>
    <t>PROV:CUST COMPLAINTS-RP</t>
  </si>
  <si>
    <t>PROV:CUST COMPLAINT-ANSC</t>
  </si>
  <si>
    <t>ACCRUALS-CUST.YE REBATE</t>
  </si>
  <si>
    <t>ACCR-TRANSPORT METAL</t>
  </si>
  <si>
    <t>PROV MARINE CARGO INSURAN</t>
  </si>
  <si>
    <t>ACCR-SALES TAX FOIL PROD.</t>
  </si>
  <si>
    <t>ACCR-SALES TAX COIL PROD.</t>
  </si>
  <si>
    <t>PROV FOR FREIGHT-DOM. RP</t>
  </si>
  <si>
    <t>COMM:OTHERS EXPORT AGENTS</t>
  </si>
  <si>
    <t>COMM:EXCEL METAL S'PORE</t>
  </si>
  <si>
    <t>SPECIAL DISCOUNT</t>
  </si>
  <si>
    <t>EXPORT REBATE</t>
  </si>
  <si>
    <t>PROV LACQUERING CHARGES</t>
  </si>
  <si>
    <t>PROV PAINTING CHARGES</t>
  </si>
  <si>
    <t>T-Utilities/LNG/Dross Payables</t>
  </si>
  <si>
    <t>ELECTRICITY - BUKIT RAJA</t>
  </si>
  <si>
    <t>TEL.,H/PHONE,SERVER LINE</t>
  </si>
  <si>
    <t>WATER - BUKIT RAJA</t>
  </si>
  <si>
    <t>UTILITIES-LNG BUKIT RAJA</t>
  </si>
  <si>
    <t>Prov-Dross Disposal</t>
  </si>
  <si>
    <t>Payable Total</t>
  </si>
  <si>
    <t>RB</t>
  </si>
  <si>
    <t>DEF LIAB-PROV RETIREMENT</t>
  </si>
  <si>
    <t>RB Total</t>
  </si>
  <si>
    <t>Rec-G-ansc</t>
  </si>
  <si>
    <t>OTHER RECEIVABLE - ANSC</t>
  </si>
  <si>
    <t>Rec-G-ansc Total</t>
  </si>
  <si>
    <t>Rec-G-related</t>
  </si>
  <si>
    <t>8000</t>
  </si>
  <si>
    <t>INTERCOMPANY RECEIVABLES</t>
  </si>
  <si>
    <t>Rec-G-related Total</t>
  </si>
  <si>
    <t>Rec-other</t>
  </si>
  <si>
    <t>MISC-REC-LEDGER A</t>
  </si>
  <si>
    <t>DEF ASSETS-RATES &amp; TAXES</t>
  </si>
  <si>
    <t>LOANS - NU PAYROLL</t>
  </si>
  <si>
    <t>LOANS - UNIONISED STAFF</t>
  </si>
  <si>
    <t>LOANS - WAGES</t>
  </si>
  <si>
    <t>DEF ASSETS - DEPOSIT</t>
  </si>
  <si>
    <t>DEPOSIT-LEDGER A</t>
  </si>
  <si>
    <t>MISC.REC-TIME DEPOSIT INT</t>
  </si>
  <si>
    <t>MISC REC-ANSIAM-LEDGER A</t>
  </si>
  <si>
    <t>MISC.REC-ACE EXTRUSION SB</t>
  </si>
  <si>
    <t>MISC.REC.- OTHERS</t>
  </si>
  <si>
    <t>PREPAID EXP-UNION EMP INS</t>
  </si>
  <si>
    <t>PREPAID-FOREINGWRKRS LEVY</t>
  </si>
  <si>
    <t>PREPAYMENT-MECIB</t>
  </si>
  <si>
    <t>PREPAYMENT-CAR INSURANCE</t>
  </si>
  <si>
    <t>PREPAYMENT - INSURANCE</t>
  </si>
  <si>
    <t>Rec-other Total</t>
  </si>
  <si>
    <t>Rec-trade</t>
  </si>
  <si>
    <t>PROV - BAD DEBTS</t>
  </si>
  <si>
    <t>FORWARD CONTRACT-EXCHANGE</t>
  </si>
  <si>
    <t>Rec-trade Total</t>
  </si>
  <si>
    <t>sub co</t>
  </si>
  <si>
    <t>INVESTMENTS - ANSC</t>
  </si>
  <si>
    <t>sub co Total</t>
  </si>
  <si>
    <t>tax- Current</t>
  </si>
  <si>
    <t>TAX PAYABLE</t>
  </si>
  <si>
    <t>tax- Current Total</t>
  </si>
  <si>
    <t>tax- DeferredCurrent</t>
  </si>
  <si>
    <t>DEFERRED TAXATION</t>
  </si>
  <si>
    <t>DEF TAX - REVALUE SURPLUS</t>
  </si>
  <si>
    <t>tax- DeferredCurrent Total</t>
  </si>
  <si>
    <t>Grand Total</t>
  </si>
  <si>
    <t>ALUMINIUM COMPANY OF MALAYSIA BERHAD</t>
  </si>
  <si>
    <t>ALCOM (GL)</t>
  </si>
  <si>
    <t>ALCOM (reclass)</t>
  </si>
  <si>
    <t>Adjustments</t>
  </si>
  <si>
    <t>RM</t>
  </si>
  <si>
    <t>FIXED ASSETS</t>
  </si>
  <si>
    <t>SUBSIDIARY COMPANY ANSC</t>
  </si>
  <si>
    <t>SUBSIDIARY COMPANY -AAS</t>
  </si>
  <si>
    <t>Prov for diminution in value of Investment</t>
  </si>
  <si>
    <t>GOODWILL ON CONSOLIDATION</t>
  </si>
  <si>
    <t>CURRENT ASSETS</t>
  </si>
  <si>
    <t>Inventories</t>
  </si>
  <si>
    <t>Trade receivables</t>
  </si>
  <si>
    <t>Other receivables and prepayments</t>
  </si>
  <si>
    <t>Amount due from Alcom</t>
  </si>
  <si>
    <t>Amount due from AESB</t>
  </si>
  <si>
    <t>Amount due from AAS</t>
  </si>
  <si>
    <t>Amount due from ANSC</t>
  </si>
  <si>
    <t xml:space="preserve">Amount due from related </t>
  </si>
  <si>
    <t>Amount due from related co-nontrade</t>
  </si>
  <si>
    <t>Bank balances and deposits</t>
  </si>
  <si>
    <t>CURRENT LIABILITIES</t>
  </si>
  <si>
    <t>Trade payables</t>
  </si>
  <si>
    <t>Other payables and accruals</t>
  </si>
  <si>
    <t>Amount due to Alcom / AAS/JW</t>
  </si>
  <si>
    <t>Amount due to AESB</t>
  </si>
  <si>
    <t>Amount due to AAS</t>
  </si>
  <si>
    <t>Amount due to ANSC</t>
  </si>
  <si>
    <t>Amount due to related co</t>
  </si>
  <si>
    <t>Provision for taxation</t>
  </si>
  <si>
    <t>NET CURRENT ASSETS</t>
  </si>
  <si>
    <t>Financed by:</t>
  </si>
  <si>
    <t>ORDINARY SHARE CAPITAL</t>
  </si>
  <si>
    <t>SHARE PREMIUM ACCOUNT</t>
  </si>
  <si>
    <t>CAPITAL RESERVE</t>
  </si>
  <si>
    <t>PROFIT &amp; LOSS ACCOUNT</t>
  </si>
  <si>
    <t>Interim dividend</t>
  </si>
  <si>
    <t>Prior year</t>
  </si>
  <si>
    <t>YTD P&amp;L</t>
  </si>
  <si>
    <t>TOTAL SHAREHOLDERS' FUNDS</t>
  </si>
  <si>
    <t>MINORITY INTERESTS</t>
  </si>
  <si>
    <t>LONG TERM LIABILITIES</t>
  </si>
  <si>
    <t>LONG TERM LOANS</t>
  </si>
  <si>
    <t>DEFERRED EXCHANGE DIFFER</t>
  </si>
  <si>
    <t>DEFERRED TAX</t>
  </si>
  <si>
    <t>NET TANGIBLE ASSETS PER</t>
  </si>
  <si>
    <t xml:space="preserve">    ORDINARY SHARE</t>
  </si>
  <si>
    <t>AVG</t>
  </si>
  <si>
    <t>STORES ITEMS</t>
  </si>
  <si>
    <t>MIS REC-ALCOM ALUM SVC SB</t>
  </si>
  <si>
    <t>PAYROLL-INCOME TAX DED.</t>
  </si>
  <si>
    <t>RB-payable for the year</t>
  </si>
  <si>
    <t>Payable-ANSC</t>
  </si>
  <si>
    <t>Payable-AAS</t>
  </si>
  <si>
    <t>Rec-AAS</t>
  </si>
  <si>
    <t>Payable-alcanG</t>
  </si>
  <si>
    <t>Payable-AAS Total</t>
  </si>
  <si>
    <t>Payable-alcanG Total</t>
  </si>
  <si>
    <t>Payable-ANSC Total</t>
  </si>
  <si>
    <t>Rec-AAS Total</t>
  </si>
  <si>
    <t>ANSC</t>
  </si>
  <si>
    <t>TIME DEPOSIT</t>
  </si>
  <si>
    <t>MBB CURRENT A/C - KLANG</t>
  </si>
  <si>
    <t>MBB-FOREIGN CURRENCY USD</t>
  </si>
  <si>
    <t>BANK OF TOKYO</t>
  </si>
  <si>
    <t>SHARE CAPITAL</t>
  </si>
  <si>
    <t>EARNED SURPLUS</t>
  </si>
  <si>
    <t>SHARE PREMIUM RESERVE</t>
  </si>
  <si>
    <t>PLANT &amp; MACHINERY</t>
  </si>
  <si>
    <t>CONTRUSCTION W.I.P</t>
  </si>
  <si>
    <t>PROV - DEPRECIATION</t>
  </si>
  <si>
    <t>RAW MATERIAL - BARE FIN</t>
  </si>
  <si>
    <t>WORK IN PROCESS</t>
  </si>
  <si>
    <t>BARE SCRAP</t>
  </si>
  <si>
    <t>COATED SCRAP</t>
  </si>
  <si>
    <t>STORES - SPARE PARTS</t>
  </si>
  <si>
    <t>STORES - PAINTS MATERIAL</t>
  </si>
  <si>
    <t>PROVISION FOR STORE LOSS</t>
  </si>
  <si>
    <t>SPORTS CLUB DEDUCTION</t>
  </si>
  <si>
    <t>PROV - AUDIT FEE</t>
  </si>
  <si>
    <t>PROV- TAX &amp; OTHER SERVICE</t>
  </si>
  <si>
    <t>CREDITOR - TRADE</t>
  </si>
  <si>
    <t>CREDITOR - NON TRADE</t>
  </si>
  <si>
    <t>PROV- STORES &amp; OTHER LIAB</t>
  </si>
  <si>
    <t>PROV FOR OTH LIABILITIES</t>
  </si>
  <si>
    <t>PROV- VACATION PAY</t>
  </si>
  <si>
    <t>SALARY &amp; WAGES</t>
  </si>
  <si>
    <t>BONUS PROVISION</t>
  </si>
  <si>
    <t>PROV- INSURANCE</t>
  </si>
  <si>
    <t>PROV - FREIGHT DOMESTIC</t>
  </si>
  <si>
    <t>PROV - EXPORT</t>
  </si>
  <si>
    <t>PROV - LMW/FTZ</t>
  </si>
  <si>
    <t>PROV - SALES COMMISSION</t>
  </si>
  <si>
    <t>Payable-alcom</t>
  </si>
  <si>
    <t>Rco-payable-Alcom</t>
  </si>
  <si>
    <t>CREDITOR - ALCOM</t>
  </si>
  <si>
    <t>Rco-payable-alcom</t>
  </si>
  <si>
    <t>CREDITOR - ALCOM OTHER</t>
  </si>
  <si>
    <t>Payable-alcom Total</t>
  </si>
  <si>
    <t>Rec-G-related-alcom</t>
  </si>
  <si>
    <t>OTHER RECEIVABLES -ALCOM</t>
  </si>
  <si>
    <t>Rec-G-related-alcom Total</t>
  </si>
  <si>
    <t>DEPOSIT(rental,telep etc)</t>
  </si>
  <si>
    <t>LOAN TO EMPLOYEE</t>
  </si>
  <si>
    <t>LOAN TO EMPLOYEE-TPT ADV</t>
  </si>
  <si>
    <t>PREPAID EXPENSES</t>
  </si>
  <si>
    <t>PREPAID INSURANCE - MECIB</t>
  </si>
  <si>
    <t>INTEREST RECEIVABLE</t>
  </si>
  <si>
    <t>Prov for Bad Debt</t>
  </si>
  <si>
    <t>PROV- INCOME TAX</t>
  </si>
  <si>
    <t>PROV-DEFERRED TAX</t>
  </si>
  <si>
    <t>ANSC(GL)</t>
  </si>
  <si>
    <t>re-classed</t>
  </si>
  <si>
    <t>SUBSIDIARY COMPANY</t>
  </si>
  <si>
    <t xml:space="preserve">PRELIMINARY &amp; PRE-OPERATING </t>
  </si>
  <si>
    <t xml:space="preserve"> EXPENSES</t>
  </si>
  <si>
    <t>TREASURY SHARES</t>
  </si>
  <si>
    <t>ALCOM GRP</t>
  </si>
  <si>
    <t>AAS</t>
  </si>
  <si>
    <t>Consol adj</t>
  </si>
  <si>
    <t xml:space="preserve">Amount due to Alcom </t>
  </si>
  <si>
    <t>Prior year adj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</si>
  <si>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</si>
  <si>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</si>
  <si>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</si>
  <si>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</si>
  <si>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</si>
  <si>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</si>
  <si>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</si>
  <si>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</si>
  <si>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</si>
  <si>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</si>
  <si>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</si>
  <si>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</si>
  <si>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ALUMINIUM COMPANY OF MALAYSIA BERHAD (3859-U) </t>
  </si>
  <si>
    <t>QUARTER</t>
  </si>
  <si>
    <t>RM'000</t>
  </si>
  <si>
    <t>Revenue</t>
  </si>
  <si>
    <t>-</t>
  </si>
  <si>
    <t xml:space="preserve"> 12 months ended 31 Dec</t>
  </si>
  <si>
    <t>Q4 03</t>
  </si>
  <si>
    <t>Q3 03</t>
  </si>
  <si>
    <t>Q2 03</t>
  </si>
  <si>
    <t>Q1 03</t>
  </si>
  <si>
    <t>Note</t>
  </si>
  <si>
    <t>MT</t>
  </si>
  <si>
    <t>Expenses excluding finance cost and tax</t>
  </si>
  <si>
    <t>Loss on divestment</t>
  </si>
  <si>
    <t>Other operating income</t>
  </si>
  <si>
    <t>Profit from operations</t>
  </si>
  <si>
    <t>Finance cost</t>
  </si>
  <si>
    <t>Profit/(loss) before tax</t>
  </si>
  <si>
    <t xml:space="preserve">Taxation </t>
  </si>
  <si>
    <t>Profit after tax</t>
  </si>
  <si>
    <t>Minority interest</t>
  </si>
  <si>
    <t>Net profit /(loss) for the period</t>
  </si>
  <si>
    <t>Basic earnings/(loss) per ordinary share (sen)</t>
  </si>
  <si>
    <t>Diluted earnings/(loss) per ordinary share (sen)</t>
  </si>
  <si>
    <t>(The Condensed Consolidated Income Statements should be read in conjunction with the</t>
  </si>
  <si>
    <t>Condensed Consolidated Balance Sheet</t>
  </si>
  <si>
    <t>AS AT</t>
  </si>
  <si>
    <t>END OF CURRENT</t>
  </si>
  <si>
    <t>PRECEDING FINANCIAL</t>
  </si>
  <si>
    <t>YEAR END</t>
  </si>
  <si>
    <t>Non current assets</t>
  </si>
  <si>
    <t>Property, plant and equipment</t>
  </si>
  <si>
    <t>Current assets</t>
  </si>
  <si>
    <t>Receivables,deposits and prepayments</t>
  </si>
  <si>
    <t>Deposits,cash and bank balances</t>
  </si>
  <si>
    <t>Less: Current liabilities</t>
  </si>
  <si>
    <t>Trade and other payables</t>
  </si>
  <si>
    <t>Tax liabilities</t>
  </si>
  <si>
    <t>Net current assets</t>
  </si>
  <si>
    <t>Less: Non current liabilities</t>
  </si>
  <si>
    <t>Provision for retirement benefits</t>
  </si>
  <si>
    <t>Deferred taxation</t>
  </si>
  <si>
    <t>Capital and reserves</t>
  </si>
  <si>
    <t>Share capital</t>
  </si>
  <si>
    <t>Reserves</t>
  </si>
  <si>
    <t>Shareholders' equity</t>
  </si>
  <si>
    <t>NTA</t>
  </si>
  <si>
    <t>Non-distributable</t>
  </si>
  <si>
    <t>Revaluation</t>
  </si>
  <si>
    <t>Share</t>
  </si>
  <si>
    <t>and other</t>
  </si>
  <si>
    <t>capital</t>
  </si>
  <si>
    <t>premium</t>
  </si>
  <si>
    <t>reserves</t>
  </si>
  <si>
    <t>Total</t>
  </si>
  <si>
    <t>Dividends</t>
  </si>
  <si>
    <t>Share buyback-treasury shares</t>
  </si>
  <si>
    <t>Operating activities</t>
  </si>
  <si>
    <t>Cash from operations</t>
  </si>
  <si>
    <t>Interest paid</t>
  </si>
  <si>
    <t>Payment of retirement benefits</t>
  </si>
  <si>
    <t>Payment of voluntary separation scheme cost</t>
  </si>
  <si>
    <t>Tax paid</t>
  </si>
  <si>
    <t>Net cash flow from operating activities</t>
  </si>
  <si>
    <t>Investing activities</t>
  </si>
  <si>
    <t>Purchase of fixed assets</t>
  </si>
  <si>
    <t>Proceeds from sale of fixed assets</t>
  </si>
  <si>
    <t>Proceed from disposal of subsidiary</t>
  </si>
  <si>
    <t>Addition investment in subsidiary</t>
  </si>
  <si>
    <t>Net cash flow from investing activities</t>
  </si>
  <si>
    <t>Financing activities</t>
  </si>
  <si>
    <t>Proceeds from issue of ordinary shares</t>
  </si>
  <si>
    <t>Payment of ordinary dividends</t>
  </si>
  <si>
    <t>Share buy back</t>
  </si>
  <si>
    <t>Net cash outflow from financing activities</t>
  </si>
  <si>
    <t>Changes in Cash &amp; Cash Equivalents</t>
  </si>
  <si>
    <t>Cash &amp; Cash Equivalents at beginning of year</t>
  </si>
  <si>
    <t>Shipment - MT</t>
  </si>
  <si>
    <t>YTD Mar 03</t>
  </si>
  <si>
    <t>YTD June 03</t>
  </si>
  <si>
    <t>YTD Sep 03</t>
  </si>
  <si>
    <t>YTD Dec 03</t>
  </si>
  <si>
    <t>YTD Mar 02</t>
  </si>
  <si>
    <t>YTD June 02</t>
  </si>
  <si>
    <t>YTD Sep 02</t>
  </si>
  <si>
    <t>YTD Dec 02</t>
  </si>
  <si>
    <t>Actual</t>
  </si>
  <si>
    <t>Sheet &amp; Foil</t>
  </si>
  <si>
    <t>Domestic - Local pricing</t>
  </si>
  <si>
    <t>Domestic - Export pricing</t>
  </si>
  <si>
    <t>FTZ &amp; LMW</t>
  </si>
  <si>
    <t>Singapore</t>
  </si>
  <si>
    <t>Export others</t>
  </si>
  <si>
    <t>AESB</t>
  </si>
  <si>
    <t>Domestic</t>
  </si>
  <si>
    <t>Domestic re-export</t>
  </si>
  <si>
    <t>Alcom to ANSC</t>
  </si>
  <si>
    <t xml:space="preserve">Export </t>
  </si>
  <si>
    <t>Third Party</t>
  </si>
  <si>
    <t>Third party sale by Q</t>
  </si>
  <si>
    <t>Q1</t>
  </si>
  <si>
    <t>Q2</t>
  </si>
  <si>
    <t>Q3</t>
  </si>
  <si>
    <t>Q4</t>
  </si>
  <si>
    <t>Alcom</t>
  </si>
  <si>
    <t>Conso adj</t>
  </si>
  <si>
    <t>Profit before tax</t>
  </si>
  <si>
    <t>Options in 2001</t>
  </si>
  <si>
    <t>Options in 2000</t>
  </si>
  <si>
    <t>at RM1.07</t>
  </si>
  <si>
    <t>at RM2.48</t>
  </si>
  <si>
    <t>Total exercised</t>
  </si>
  <si>
    <t>Lapse</t>
  </si>
  <si>
    <t>Granted -2000</t>
  </si>
  <si>
    <t>2000</t>
  </si>
  <si>
    <t>Granted- 2001</t>
  </si>
  <si>
    <t>Exercise yr 2002</t>
  </si>
  <si>
    <t>May02=17K,Nov02=14K</t>
  </si>
  <si>
    <t>Balance 31.12.2002</t>
  </si>
  <si>
    <t>Exercise Q1 03</t>
  </si>
  <si>
    <t>Balance 31.3.03</t>
  </si>
  <si>
    <t>Exercise Q2 03</t>
  </si>
  <si>
    <t>Balance 30.6.03</t>
  </si>
  <si>
    <t>Exercise Q3 03</t>
  </si>
  <si>
    <t>Balance 30.9.03</t>
  </si>
  <si>
    <t>Exercise Q4 03</t>
  </si>
  <si>
    <t>Balance 31.12.03</t>
  </si>
  <si>
    <t>Disposal</t>
  </si>
  <si>
    <t>Cost add</t>
  </si>
  <si>
    <t>Depr charg</t>
  </si>
  <si>
    <t>disp cost</t>
  </si>
  <si>
    <t>Disp Depn</t>
  </si>
  <si>
    <t>proceed</t>
  </si>
  <si>
    <t>prov P&amp;L</t>
  </si>
  <si>
    <t>Alcom,ANSC,AESB</t>
  </si>
  <si>
    <t>Variance</t>
  </si>
  <si>
    <t>Cash Flow Workings</t>
  </si>
  <si>
    <t>Intangible asset</t>
  </si>
  <si>
    <t>Gain on disposal</t>
  </si>
  <si>
    <t>Depreciation</t>
  </si>
  <si>
    <t>increase in current assets</t>
  </si>
  <si>
    <t>increase payables</t>
  </si>
  <si>
    <t>increase in RB</t>
  </si>
  <si>
    <t>Interest received -repo&amp;customers</t>
  </si>
  <si>
    <t>Loss on divestment of AESB</t>
  </si>
  <si>
    <t>Interest received</t>
  </si>
  <si>
    <t>Impairment of assets</t>
  </si>
  <si>
    <t>Disposal of AESB</t>
  </si>
  <si>
    <t>Cash &amp; Cash Equivalents at end of period</t>
  </si>
  <si>
    <t>Q1 04</t>
  </si>
  <si>
    <t>Q2 04</t>
  </si>
  <si>
    <t>Q3 04</t>
  </si>
  <si>
    <t>Q4 04</t>
  </si>
  <si>
    <t>Total 2003</t>
  </si>
  <si>
    <t>YTD Mar 04</t>
  </si>
  <si>
    <t>YTD June 04</t>
  </si>
  <si>
    <t>YTD Sep 04</t>
  </si>
  <si>
    <t>YTD Dec 04</t>
  </si>
  <si>
    <t>Q103</t>
  </si>
  <si>
    <t>Q203</t>
  </si>
  <si>
    <t>Q303</t>
  </si>
  <si>
    <t>Q403</t>
  </si>
  <si>
    <t>Q104</t>
  </si>
  <si>
    <t>Other revenue</t>
  </si>
  <si>
    <t>Unrealised profit on ANSC stock</t>
  </si>
  <si>
    <t xml:space="preserve"> Finance Costs</t>
  </si>
  <si>
    <t>Bank charges 53035*</t>
  </si>
  <si>
    <t>Commitment fee</t>
  </si>
  <si>
    <t>Interest expense</t>
  </si>
  <si>
    <t xml:space="preserve">SALES TURNOVER </t>
  </si>
  <si>
    <t>Scrap</t>
  </si>
  <si>
    <t>Dross</t>
  </si>
  <si>
    <t>Swarf</t>
  </si>
  <si>
    <t>Misc Sales/Charges</t>
  </si>
  <si>
    <t xml:space="preserve">Jobbing </t>
  </si>
  <si>
    <t>Total Revenue</t>
  </si>
  <si>
    <t>Interest income-Repo</t>
  </si>
  <si>
    <t>OTHER INCOME INCLUDING INTEREST INCOME</t>
  </si>
  <si>
    <t>Rental income ANSC</t>
  </si>
  <si>
    <t>Disposal Income</t>
  </si>
  <si>
    <t>Bad debt recovered</t>
  </si>
  <si>
    <t>Gas rebate</t>
  </si>
  <si>
    <t>Interest income-Customers</t>
  </si>
  <si>
    <t>Misc income</t>
  </si>
  <si>
    <t>Other operating expenses</t>
  </si>
  <si>
    <t>COGS for Chromium</t>
  </si>
  <si>
    <t>VSS</t>
  </si>
  <si>
    <t>R&amp;M on rented premises</t>
  </si>
  <si>
    <t>Quit rent PJ(included in rental)</t>
  </si>
  <si>
    <t>Conso Adj</t>
  </si>
  <si>
    <t>Rental income ACE</t>
  </si>
  <si>
    <t>Freight</t>
  </si>
  <si>
    <t>Impairment of Assets</t>
  </si>
  <si>
    <t>Depn on car transferred to AESB</t>
  </si>
  <si>
    <t>ANSC coated scrap-Revenue=Cost</t>
  </si>
  <si>
    <t>MT coated scrap</t>
  </si>
  <si>
    <t xml:space="preserve"> 9 months ended 30 Sep</t>
  </si>
  <si>
    <t>Diff</t>
  </si>
  <si>
    <t>Exercise Q1 04</t>
  </si>
  <si>
    <t>Balance 31.3.04</t>
  </si>
  <si>
    <t>Continuing and Discontinuing Operations</t>
  </si>
  <si>
    <t>Continuing operations</t>
  </si>
  <si>
    <t>Discontinuing operations</t>
  </si>
  <si>
    <t xml:space="preserve">                 Group</t>
  </si>
  <si>
    <t>Income Statement</t>
  </si>
  <si>
    <t>Loss on divestment subsidiary</t>
  </si>
  <si>
    <t>Cash Flow s</t>
  </si>
  <si>
    <t>Proceed from disposal</t>
  </si>
  <si>
    <t>Total Cash flows</t>
  </si>
  <si>
    <t>Balance Sheet</t>
  </si>
  <si>
    <t>Total  assets</t>
  </si>
  <si>
    <t>Current liabilities</t>
  </si>
  <si>
    <t>Non current liabilities</t>
  </si>
  <si>
    <t>Total  liabilities</t>
  </si>
  <si>
    <t>Net assets</t>
  </si>
  <si>
    <t>Profit before</t>
  </si>
  <si>
    <t>Net profit</t>
  </si>
  <si>
    <t xml:space="preserve">   Q ended 31 Mar</t>
  </si>
  <si>
    <t>tax</t>
  </si>
  <si>
    <t xml:space="preserve">   Q ended 31 Dec</t>
  </si>
  <si>
    <t>MT -coated scrap</t>
  </si>
  <si>
    <t>Revenue (included coated scrap)</t>
  </si>
  <si>
    <t>Coated scrap -revenue&amp;cost</t>
  </si>
  <si>
    <t>AESB only</t>
  </si>
  <si>
    <t xml:space="preserve">   Q ended 30 Sep</t>
  </si>
  <si>
    <t xml:space="preserve">   Q ended 30 Jun</t>
  </si>
  <si>
    <t>Year 2003</t>
  </si>
  <si>
    <t>Group</t>
  </si>
  <si>
    <t>OTHER INCOME INCLUDING INTEREST INCOME -YTD Q1 2004</t>
  </si>
  <si>
    <t>Domestic- AESB</t>
  </si>
  <si>
    <t>Export -AESB</t>
  </si>
  <si>
    <r>
      <t>Domestic-Total(</t>
    </r>
    <r>
      <rPr>
        <sz val="10"/>
        <rFont val="Arial"/>
        <family val="2"/>
      </rPr>
      <t>includeAESB)</t>
    </r>
  </si>
  <si>
    <r>
      <t>Export -Total(</t>
    </r>
    <r>
      <rPr>
        <sz val="10"/>
        <rFont val="Arial"/>
        <family val="2"/>
      </rPr>
      <t>include AESB)</t>
    </r>
  </si>
  <si>
    <r>
      <t>Domestic-Total(</t>
    </r>
    <r>
      <rPr>
        <sz val="10"/>
        <rFont val="Arial"/>
        <family val="2"/>
      </rPr>
      <t>ex</t>
    </r>
    <r>
      <rPr>
        <sz val="10"/>
        <rFont val="Arial"/>
        <family val="2"/>
      </rPr>
      <t>cludeAESB)</t>
    </r>
  </si>
  <si>
    <r>
      <t>Export -Total(</t>
    </r>
    <r>
      <rPr>
        <sz val="10"/>
        <rFont val="Arial"/>
        <family val="2"/>
      </rPr>
      <t>ex</t>
    </r>
    <r>
      <rPr>
        <sz val="10"/>
        <rFont val="Arial"/>
        <family val="2"/>
      </rPr>
      <t>clude AESB)</t>
    </r>
  </si>
  <si>
    <t>Export % (include AESB)</t>
  </si>
  <si>
    <t>Export % (EXclude AESB)</t>
  </si>
  <si>
    <t>Revised treatment of Loss on divestment of AESB for Q3&amp;Q4</t>
  </si>
  <si>
    <t>OTHER INCOME INCLUDING INTEREST INCOME -YTD Q2 2004</t>
  </si>
  <si>
    <t>Total 2004</t>
  </si>
  <si>
    <t>PAYROLL - WAGES</t>
  </si>
  <si>
    <t>PAYROLL-SALARY-NON-UNION</t>
  </si>
  <si>
    <t>CITIBANK-OVERDRAFT</t>
  </si>
  <si>
    <t>DEF INC-PJ LAND DISPOSAL</t>
  </si>
  <si>
    <t>STAFF EXPENSE CLAIMS</t>
  </si>
  <si>
    <t>YTD Mar 2003</t>
  </si>
  <si>
    <t>YTD Jun 04</t>
  </si>
  <si>
    <t>Revenue per Review</t>
  </si>
  <si>
    <t>ESOS</t>
  </si>
  <si>
    <t>Exercise Q2 04</t>
  </si>
  <si>
    <t>Balance 30.6.04</t>
  </si>
  <si>
    <t>Q204</t>
  </si>
  <si>
    <t xml:space="preserve"> 6 months ended 30 Jun</t>
  </si>
  <si>
    <t>YTD Sept 04</t>
  </si>
  <si>
    <t>OTHER RECEIVABLES -OTHERS</t>
  </si>
  <si>
    <t>1000</t>
  </si>
  <si>
    <t>MISC REC-LEDGER A - ANSC</t>
  </si>
  <si>
    <t>TRADE RECEIVABLE-3rdPARTY</t>
  </si>
  <si>
    <t>Prov for MECIB Insurance</t>
  </si>
  <si>
    <t>PAYROLL - SALARY - UNION</t>
  </si>
  <si>
    <t>Q304</t>
  </si>
  <si>
    <t>Exercise Q3 04</t>
  </si>
  <si>
    <t>Balance 30.9.04</t>
  </si>
  <si>
    <t>Q404</t>
  </si>
  <si>
    <t xml:space="preserve"> 3 months ended 31 Dec</t>
  </si>
  <si>
    <t>Quarter ended 31 Dec 2004</t>
  </si>
  <si>
    <t>12 months ended 31 Dec 2004</t>
  </si>
  <si>
    <t>12 months ended 31 Dec 2003</t>
  </si>
  <si>
    <t>Quarter ended 31 Dec 2003</t>
  </si>
  <si>
    <t>Exercise Q4 04</t>
  </si>
  <si>
    <t>Balance 31.12.04</t>
  </si>
  <si>
    <t>TRADE DEBTORS</t>
  </si>
  <si>
    <t>UNCLAIM - MONEY/SALARIES</t>
  </si>
  <si>
    <t>PAYROLL-EPF DED.</t>
  </si>
  <si>
    <t>PAYROLL-EMPLOYER'S CONTR.</t>
  </si>
  <si>
    <t>LG refund</t>
  </si>
  <si>
    <t>Payment of dividends to:</t>
  </si>
  <si>
    <t xml:space="preserve"> - shareholders</t>
  </si>
  <si>
    <t xml:space="preserve"> - minority interests in subsidiary company</t>
  </si>
  <si>
    <t>no of share at year end</t>
  </si>
  <si>
    <t>Interest income received</t>
  </si>
  <si>
    <t>reserve</t>
  </si>
  <si>
    <t>Land disposal costs</t>
  </si>
  <si>
    <t>Q1 05</t>
  </si>
  <si>
    <t>Q2 05</t>
  </si>
  <si>
    <t>Q3 05</t>
  </si>
  <si>
    <t>Q4 05</t>
  </si>
  <si>
    <t>Total 2005</t>
  </si>
  <si>
    <t>YTD Mar 05</t>
  </si>
  <si>
    <t>YTD June 05</t>
  </si>
  <si>
    <t>YTD Sep 05</t>
  </si>
  <si>
    <t>YTD Dec 05</t>
  </si>
  <si>
    <t>Q105</t>
  </si>
  <si>
    <t>Q205</t>
  </si>
  <si>
    <t>ALCOM - Trial Balance</t>
  </si>
  <si>
    <t>PCNO</t>
  </si>
  <si>
    <t>GLNO</t>
  </si>
  <si>
    <t>GLDESC</t>
  </si>
  <si>
    <t>OTHER CREDITOR-MERCANTILE</t>
  </si>
  <si>
    <t>Exercise Q1 05</t>
  </si>
  <si>
    <t>Balance 31.3.05</t>
  </si>
  <si>
    <t>YTD Jun 05</t>
  </si>
  <si>
    <t>Exercise Q2 05</t>
  </si>
  <si>
    <t>Balance 30.6.05</t>
  </si>
  <si>
    <t>PROV-INV OBS'NCE METAL</t>
  </si>
  <si>
    <t>WAGES-HRDL</t>
  </si>
  <si>
    <t>GENERAL PROVISION</t>
  </si>
  <si>
    <t>Q305</t>
  </si>
  <si>
    <t>Exercise Q3 05</t>
  </si>
  <si>
    <t>Balance 30.9.05</t>
  </si>
  <si>
    <t>UNIONISED INSURANCE</t>
  </si>
  <si>
    <t>RECURRING PAYABLES</t>
  </si>
  <si>
    <t>Alcom to AESB</t>
  </si>
  <si>
    <t>OTHER PREPAYMENTS</t>
  </si>
  <si>
    <t>Insurance (MECIB) refund</t>
  </si>
  <si>
    <t>Tax refund (AAS)</t>
  </si>
  <si>
    <t>Q405</t>
  </si>
  <si>
    <t>Exercise Q4 05</t>
  </si>
  <si>
    <t>Balance 31.12.05</t>
  </si>
  <si>
    <t>YTD Mar 06</t>
  </si>
  <si>
    <t>Bad debt provision/(reversal)</t>
  </si>
  <si>
    <t>Q1 06</t>
  </si>
  <si>
    <t>Q2 06</t>
  </si>
  <si>
    <t>Q3 06</t>
  </si>
  <si>
    <t>Q4 06</t>
  </si>
  <si>
    <t>Total 2006</t>
  </si>
  <si>
    <t>YTD June 06</t>
  </si>
  <si>
    <t>YTD Sep 06</t>
  </si>
  <si>
    <t>YTD Dec 06</t>
  </si>
  <si>
    <t>Q106</t>
  </si>
  <si>
    <t>Q206</t>
  </si>
  <si>
    <t>Q306</t>
  </si>
  <si>
    <t>Q406</t>
  </si>
  <si>
    <t>Exercise Q1 06</t>
  </si>
  <si>
    <t>Balance 31.3.06</t>
  </si>
  <si>
    <t>MISC REC-ALCOM SPORE PTE</t>
  </si>
  <si>
    <t>PURCHASE SCRAP NLM&amp;GRP CO</t>
  </si>
  <si>
    <t>OTHER ACCRUALS</t>
  </si>
  <si>
    <t>PAYROLLL-SOCSO EMPL CONTR</t>
  </si>
  <si>
    <t>PPV-CHEMICALS</t>
  </si>
  <si>
    <t>PPV-TIMBER SUPPLIES</t>
  </si>
  <si>
    <t>Amount due from Alcom S'pore</t>
  </si>
  <si>
    <t>GOODWILL</t>
  </si>
  <si>
    <t>Goodwill</t>
  </si>
  <si>
    <t xml:space="preserve"> - Minority interest</t>
  </si>
  <si>
    <t>Total equity</t>
  </si>
  <si>
    <t>Prepaid lease payments</t>
  </si>
  <si>
    <t>Deferred tax assets</t>
  </si>
  <si>
    <t>Deferred tax liabilities</t>
  </si>
  <si>
    <t>Current tax liabilities</t>
  </si>
  <si>
    <t>Acquisition of minority interest</t>
  </si>
  <si>
    <t>PREPAID-FORGN WORKER LEVY</t>
  </si>
  <si>
    <t>Ingot - Dross Reclaim</t>
  </si>
  <si>
    <t>HARDENER-COPPER WIRE SCRP</t>
  </si>
  <si>
    <t>YTD Jun 06</t>
  </si>
  <si>
    <t>Exercise Q2 06</t>
  </si>
  <si>
    <t>Balance 30.6.06</t>
  </si>
  <si>
    <t>PPV-OPERATING SUPPLIES</t>
  </si>
  <si>
    <t>Goodwill written off</t>
  </si>
  <si>
    <t>Exercise Q3 06</t>
  </si>
  <si>
    <t>Balance 30.9.06</t>
  </si>
  <si>
    <t>Exercise Q4 06</t>
  </si>
  <si>
    <t>Balance 31.12.06</t>
  </si>
  <si>
    <t>YTD Mar 07</t>
  </si>
  <si>
    <t>YTD June 07</t>
  </si>
  <si>
    <t>YTD Sep 07</t>
  </si>
  <si>
    <t>YTD Dec 07</t>
  </si>
  <si>
    <t>Q1 07</t>
  </si>
  <si>
    <t>Q2 07</t>
  </si>
  <si>
    <t>Q3 07</t>
  </si>
  <si>
    <t>Q4 07</t>
  </si>
  <si>
    <t>Attributable to:</t>
  </si>
  <si>
    <t>Total 2007</t>
  </si>
  <si>
    <t>Q107</t>
  </si>
  <si>
    <t>Q207</t>
  </si>
  <si>
    <t>Q307</t>
  </si>
  <si>
    <t>Q407</t>
  </si>
  <si>
    <t>CASH DISCOUNT</t>
  </si>
  <si>
    <t>ACCESSORIES &amp; TOOLS</t>
  </si>
  <si>
    <t>PPV-FUEL/DIESEL/GAS</t>
  </si>
  <si>
    <t>PPV-PACKAGING MATERIALS</t>
  </si>
  <si>
    <t>PPV-SPARE PARTS &amp; ENG.</t>
  </si>
  <si>
    <t>CASTER ROLL SHELL-PPV</t>
  </si>
  <si>
    <t>PPV-CERAMIC MATERIALS</t>
  </si>
  <si>
    <t>PPV-ENGINEERING SUPPLIES</t>
  </si>
  <si>
    <t>Exercise Q1 07</t>
  </si>
  <si>
    <t>Balance 31.3.07</t>
  </si>
  <si>
    <t>no of share at year end less treasury shares</t>
  </si>
  <si>
    <t>YTD Jun 07</t>
  </si>
  <si>
    <t>Exercise Q2 07</t>
  </si>
  <si>
    <t>Balance 30.6.07</t>
  </si>
  <si>
    <t>Rozie Rahmat</t>
  </si>
  <si>
    <t>Exercise Q3 07</t>
  </si>
  <si>
    <t>Balance 30.9.07</t>
  </si>
  <si>
    <t>PROV-STOCK OBSOLESCENCE</t>
  </si>
  <si>
    <t>PROV-NRV</t>
  </si>
  <si>
    <t>PROV - SALES TAX</t>
  </si>
  <si>
    <t>INCOME TAX DEDUCTION</t>
  </si>
  <si>
    <t>MULTIPURPOSE CO-OP,SOC.</t>
  </si>
  <si>
    <t>YTD Mar 08</t>
  </si>
  <si>
    <t>Q1 08</t>
  </si>
  <si>
    <t>LMW</t>
  </si>
  <si>
    <t>Q108</t>
  </si>
  <si>
    <t>Exercise Q4 07</t>
  </si>
  <si>
    <t>Balance 31.12.07</t>
  </si>
  <si>
    <t>Exercise Q1 08</t>
  </si>
  <si>
    <t>Balance 31.03.08</t>
  </si>
  <si>
    <t>Q1 09</t>
  </si>
  <si>
    <t>Q2 09</t>
  </si>
  <si>
    <t>Q3 09</t>
  </si>
  <si>
    <t>Q4 09</t>
  </si>
  <si>
    <t>Total 2009</t>
  </si>
  <si>
    <t>Apr-Jun 2008</t>
  </si>
  <si>
    <t>CN from NCA</t>
  </si>
  <si>
    <t>Q109</t>
  </si>
  <si>
    <t>Q209</t>
  </si>
  <si>
    <t>Q309</t>
  </si>
  <si>
    <t>Q409</t>
  </si>
  <si>
    <t>Type</t>
  </si>
  <si>
    <t>GL DESCRIPTION</t>
  </si>
  <si>
    <t>GL CODE</t>
  </si>
  <si>
    <t>BALANCE</t>
  </si>
  <si>
    <t>AR</t>
  </si>
  <si>
    <t>Intercompany Receivable</t>
  </si>
  <si>
    <t>8000-142.11.000.00</t>
  </si>
  <si>
    <t>AP</t>
  </si>
  <si>
    <t xml:space="preserve">Creditor - Alcom        </t>
  </si>
  <si>
    <t>Other Rec-Ansc</t>
  </si>
  <si>
    <t>8000-142.13.010.00</t>
  </si>
  <si>
    <t xml:space="preserve">Creditor - Alcom Other  </t>
  </si>
  <si>
    <t xml:space="preserve">Alcom Group Companies  </t>
  </si>
  <si>
    <t>8000-200.10.000.03</t>
  </si>
  <si>
    <t xml:space="preserve"> Other Receivables -Alcom </t>
  </si>
  <si>
    <t>6000-142.22.000.00</t>
  </si>
  <si>
    <t>Prepared by:………………………………….</t>
  </si>
  <si>
    <t>Reviewed by:………………………………….</t>
  </si>
  <si>
    <t>Approved by:………………………………….</t>
  </si>
  <si>
    <t>LTIP ACC-CURR PORTION</t>
  </si>
  <si>
    <t>LTIP ACC-NON CURR PORTION</t>
  </si>
  <si>
    <t>PROPERTY, PLANT AND EQUIPMENT</t>
  </si>
  <si>
    <t>PREPAID LEASE RENTALS</t>
  </si>
  <si>
    <t>Exercise Q1 09</t>
  </si>
  <si>
    <t>Balance 30.06.08</t>
  </si>
  <si>
    <t>n/a</t>
  </si>
  <si>
    <t>Audit adj</t>
  </si>
  <si>
    <t>YTD Apr-Jun</t>
  </si>
  <si>
    <t>YTD Apr-Sep</t>
  </si>
  <si>
    <t>Apr-Sep 2008</t>
  </si>
  <si>
    <t>E.P.F - DEDUCTION</t>
  </si>
  <si>
    <t>E.P.F- EMPLOYER CONTR'ION</t>
  </si>
  <si>
    <t>SOCSO - DEDUCTION</t>
  </si>
  <si>
    <t>SOCSO EMPLOYER CONTR'TION</t>
  </si>
  <si>
    <t>6000-200.22.010.00</t>
  </si>
  <si>
    <t>Exercise Q2 09</t>
  </si>
  <si>
    <t>Balance 30.09.08</t>
  </si>
  <si>
    <t>Apr-Dec 2008</t>
  </si>
  <si>
    <t>YTD Apr-Dec</t>
  </si>
  <si>
    <t>Exercise Q3 09</t>
  </si>
  <si>
    <t>Balance 31.12.08</t>
  </si>
  <si>
    <t>Adj</t>
  </si>
  <si>
    <t>Apr 2008-Mar 2009</t>
  </si>
  <si>
    <t>Interest income-Staff Loan</t>
  </si>
  <si>
    <t>Misc Income</t>
  </si>
  <si>
    <t>Exercise Q4 09</t>
  </si>
  <si>
    <t>Balance 31.03.09</t>
  </si>
  <si>
    <t>Apr 2009-Jun 2009</t>
  </si>
  <si>
    <t>Q1 10</t>
  </si>
  <si>
    <t>Q2 10</t>
  </si>
  <si>
    <t>Q3 10</t>
  </si>
  <si>
    <t>Q4 10</t>
  </si>
  <si>
    <t>Total 2010</t>
  </si>
  <si>
    <t>Q110</t>
  </si>
  <si>
    <t>Q210</t>
  </si>
  <si>
    <t>Q310</t>
  </si>
  <si>
    <t>Q410</t>
  </si>
  <si>
    <t>Tax recoverable</t>
  </si>
  <si>
    <t>6000-200.22.000.00</t>
  </si>
  <si>
    <t>INTERIM DIVIDEND - ORD</t>
  </si>
  <si>
    <t>Dividend - Ord</t>
  </si>
  <si>
    <t>Dividend payable</t>
  </si>
  <si>
    <t>LOAN-UN.EMPLOYEE INS.PRM</t>
  </si>
  <si>
    <t>Tax Recoverable</t>
  </si>
  <si>
    <t>Exercise Q1 10</t>
  </si>
  <si>
    <t>Balance 30.06.09</t>
  </si>
  <si>
    <t>Apr 2009-Sep 2009</t>
  </si>
  <si>
    <t>TREASURY SHARES ( 2,079,000 shares, at cost of purchase )</t>
  </si>
  <si>
    <t>Exercise Q2 10</t>
  </si>
  <si>
    <t>Balance 30.09.09</t>
  </si>
  <si>
    <t>Apr 2009-Dec 2009</t>
  </si>
  <si>
    <t>Exercise Q3 10</t>
  </si>
  <si>
    <t>Balance 31.12.09</t>
  </si>
  <si>
    <t>YTD Jan-Mar</t>
  </si>
  <si>
    <t>YTD Apr-Mar</t>
  </si>
  <si>
    <t>MISC.REC-SATWANT SINGH</t>
  </si>
  <si>
    <t>Apr 2009-Mar 2010</t>
  </si>
  <si>
    <t>Early payment discount</t>
  </si>
  <si>
    <t>Exercise Q4 10</t>
  </si>
  <si>
    <t>Balance 31.03.10</t>
  </si>
  <si>
    <t>Apr 2010-Jun 2010</t>
  </si>
  <si>
    <t>Q1 11</t>
  </si>
  <si>
    <r>
      <t>ALCOM TRADE AND NON TRADE</t>
    </r>
    <r>
      <rPr>
        <b/>
        <u/>
        <sz val="16"/>
        <rFont val="Arial"/>
        <family val="2"/>
      </rPr>
      <t xml:space="preserve"> DEBTORS</t>
    </r>
    <r>
      <rPr>
        <b/>
        <u/>
        <sz val="10"/>
        <rFont val="Arial"/>
        <family val="2"/>
      </rPr>
      <t xml:space="preserve"> BALANCE WITH ANSC AS AT 30-6-2010</t>
    </r>
  </si>
  <si>
    <r>
      <t xml:space="preserve">ALCOM TRADE AND NON TRADE </t>
    </r>
    <r>
      <rPr>
        <b/>
        <u/>
        <sz val="14"/>
        <rFont val="Arial"/>
        <family val="2"/>
      </rPr>
      <t>CREDITORS</t>
    </r>
    <r>
      <rPr>
        <b/>
        <u/>
        <sz val="10"/>
        <rFont val="Arial"/>
        <family val="2"/>
      </rPr>
      <t xml:space="preserve"> BALANCE WITH ANSC AS AT 30-6-2010</t>
    </r>
  </si>
  <si>
    <t>MISC REC-NOVELIS GROUP CO</t>
  </si>
  <si>
    <t>OTH PAYABLE-FWD CONTRACT</t>
  </si>
  <si>
    <t>Annual Financial Report for the year ended 31 March 2010 )</t>
  </si>
  <si>
    <t>Balance as at 1 April 2010</t>
  </si>
  <si>
    <t>Q2 11</t>
  </si>
  <si>
    <t>Apr 2010-Sep 2010</t>
  </si>
  <si>
    <t>S &amp; A PREPAYMENT</t>
  </si>
  <si>
    <t>MBB-OVERDRAFT/CA-S'PORE</t>
  </si>
  <si>
    <t>Refund of tax</t>
  </si>
  <si>
    <t>TYPE</t>
  </si>
  <si>
    <t>PCDESC</t>
  </si>
  <si>
    <t>BS</t>
  </si>
  <si>
    <t>1001200000</t>
  </si>
  <si>
    <t>B</t>
  </si>
  <si>
    <t>1001400000</t>
  </si>
  <si>
    <t>T</t>
  </si>
  <si>
    <t>1011000000</t>
  </si>
  <si>
    <t>1021000000</t>
  </si>
  <si>
    <t>1021100000</t>
  </si>
  <si>
    <t>1021200000</t>
  </si>
  <si>
    <t>1031000000</t>
  </si>
  <si>
    <t>1050000000</t>
  </si>
  <si>
    <t>1400900000</t>
  </si>
  <si>
    <t>1401001200</t>
  </si>
  <si>
    <t>1401001300</t>
  </si>
  <si>
    <t>1401001510</t>
  </si>
  <si>
    <t>1401001520</t>
  </si>
  <si>
    <t>1401001530</t>
  </si>
  <si>
    <t>1401001540</t>
  </si>
  <si>
    <t>1401001550</t>
  </si>
  <si>
    <t>1401001560</t>
  </si>
  <si>
    <t>1401101000</t>
  </si>
  <si>
    <t>1401101200</t>
  </si>
  <si>
    <t>1401200000</t>
  </si>
  <si>
    <t>1401301000</t>
  </si>
  <si>
    <t>1401301100</t>
  </si>
  <si>
    <t>1401301200</t>
  </si>
  <si>
    <t>1401301210</t>
  </si>
  <si>
    <t>1401301500</t>
  </si>
  <si>
    <t>1401301600</t>
  </si>
  <si>
    <t>1401301700</t>
  </si>
  <si>
    <t>1401302000</t>
  </si>
  <si>
    <t>1401303000</t>
  </si>
  <si>
    <t>1401305000</t>
  </si>
  <si>
    <t>1451001100</t>
  </si>
  <si>
    <t>1451001101</t>
  </si>
  <si>
    <t>1451001102</t>
  </si>
  <si>
    <t>2001701010</t>
  </si>
  <si>
    <t>2001701210</t>
  </si>
  <si>
    <t>2001701310</t>
  </si>
  <si>
    <t>2001701410</t>
  </si>
  <si>
    <t>2001701511</t>
  </si>
  <si>
    <t>2031202800</t>
  </si>
  <si>
    <t>2031203300</t>
  </si>
  <si>
    <t>2031300000</t>
  </si>
  <si>
    <t>2031501000</t>
  </si>
  <si>
    <t>2031501200</t>
  </si>
  <si>
    <t>2031700000</t>
  </si>
  <si>
    <t>2032001001</t>
  </si>
  <si>
    <t>2032001004</t>
  </si>
  <si>
    <t>2032200000</t>
  </si>
  <si>
    <t>2032201115</t>
  </si>
  <si>
    <t>2032500000</t>
  </si>
  <si>
    <t>2032600000</t>
  </si>
  <si>
    <t>2033000000</t>
  </si>
  <si>
    <t>2033100000</t>
  </si>
  <si>
    <t>2121100000</t>
  </si>
  <si>
    <t>2121200000</t>
  </si>
  <si>
    <t>2121300000</t>
  </si>
  <si>
    <t>2121600000</t>
  </si>
  <si>
    <t>2121700000</t>
  </si>
  <si>
    <t>2121800000</t>
  </si>
  <si>
    <t>2121900000</t>
  </si>
  <si>
    <t>PL</t>
  </si>
  <si>
    <t>5200000000</t>
  </si>
  <si>
    <t>DCCS - ROLLED PRODUCTS</t>
  </si>
  <si>
    <t>5201200000</t>
  </si>
  <si>
    <t>DCCS-WAREHOUSING&amp; STORAGE</t>
  </si>
  <si>
    <t>5201400000</t>
  </si>
  <si>
    <t>DCCS-STORE ADJUSTMENTS</t>
  </si>
  <si>
    <t>5201500000</t>
  </si>
  <si>
    <t>DCCS-SHUTDOWN MAINTENANCE</t>
  </si>
  <si>
    <t>5201700000</t>
  </si>
  <si>
    <t>5202100000</t>
  </si>
  <si>
    <t>DCCS- STORE OBSOLESCENCE</t>
  </si>
  <si>
    <t>5202300000</t>
  </si>
  <si>
    <t>DCCS-FABRICATION SCRAPBIN</t>
  </si>
  <si>
    <t>5202510000</t>
  </si>
  <si>
    <t>FREIGHTS-RAW MATERIALS</t>
  </si>
  <si>
    <t>5202530000</t>
  </si>
  <si>
    <t>DUTY - RAW MATERIALS</t>
  </si>
  <si>
    <t>5203000000</t>
  </si>
  <si>
    <t>DCCS - ACCESSORIES</t>
  </si>
  <si>
    <t>5204000000</t>
  </si>
  <si>
    <t>DCCS-CUSTOMER COMPLAINTS</t>
  </si>
  <si>
    <t>5204010000</t>
  </si>
  <si>
    <t>DCCS-ANSC BARE FIN SCRAP</t>
  </si>
  <si>
    <t>5204020000</t>
  </si>
  <si>
    <t>DCCS-ANSC MFG DEFECTS</t>
  </si>
  <si>
    <t>5204030000</t>
  </si>
  <si>
    <t>DCCS-LOSS ON FG SCRAPPED</t>
  </si>
  <si>
    <t>5206001000</t>
  </si>
  <si>
    <t>Tech Fees &amp; W/holding Tax</t>
  </si>
  <si>
    <t>5207000000</t>
  </si>
  <si>
    <t>DCCS-NRV</t>
  </si>
  <si>
    <t>5300100000</t>
  </si>
  <si>
    <t>CENTS ELIMINATION</t>
  </si>
  <si>
    <t>5303501011</t>
  </si>
  <si>
    <t>BANK CHGS-COMM-LC NEGOTN</t>
  </si>
  <si>
    <t>5303501013</t>
  </si>
  <si>
    <t>BANK CHGS-COMM-LC ADVICE</t>
  </si>
  <si>
    <t>5303501014</t>
  </si>
  <si>
    <t>BANK CHGS-COMM-BANK GRTEE</t>
  </si>
  <si>
    <t>5303501015</t>
  </si>
  <si>
    <t>BANK CHGS-COMM-LOCL DRAFT</t>
  </si>
  <si>
    <t>5303501018</t>
  </si>
  <si>
    <t>BANK CHGS-COMM-O/PORT CHQ</t>
  </si>
  <si>
    <t>5303501111</t>
  </si>
  <si>
    <t>MISC CHGS-BANK TRANSFER</t>
  </si>
  <si>
    <t>5303501113</t>
  </si>
  <si>
    <t>MISC CHGS-LC DISCREPANCY</t>
  </si>
  <si>
    <t>5501000000</t>
  </si>
  <si>
    <t>NON-OP INC-SALES OF SCRAP</t>
  </si>
  <si>
    <t>5501300000</t>
  </si>
  <si>
    <t>NON-OP INC-DISPOSAL OF AS</t>
  </si>
  <si>
    <t>5501310000</t>
  </si>
  <si>
    <t>PROCEED-SALES OF F.ASSET</t>
  </si>
  <si>
    <t>5501400000</t>
  </si>
  <si>
    <t>NON-OP INC-RENTAL INCOME</t>
  </si>
  <si>
    <t>5501500000</t>
  </si>
  <si>
    <t>NON-OP INC-OTH OP REV</t>
  </si>
  <si>
    <t>5506000000</t>
  </si>
  <si>
    <t>COGS - ALUMINIUM SCRAP</t>
  </si>
  <si>
    <t>9000000000</t>
  </si>
  <si>
    <t>MANUFACTURING EXPENSES</t>
  </si>
  <si>
    <t>1110</t>
  </si>
  <si>
    <t>9100900000</t>
  </si>
  <si>
    <t>CONTRACT LABOUR</t>
  </si>
  <si>
    <t>9101301000</t>
  </si>
  <si>
    <t>OP SUP-LUBRICANTS</t>
  </si>
  <si>
    <t>9101301200</t>
  </si>
  <si>
    <t>OP SUP-CHEMICAL</t>
  </si>
  <si>
    <t>9101301500</t>
  </si>
  <si>
    <t>OP SUP-SAFETY EQUIP &amp; MAT</t>
  </si>
  <si>
    <t>9101302500</t>
  </si>
  <si>
    <t>OP SUP-MISCELLANEOUS</t>
  </si>
  <si>
    <t>9101303400</t>
  </si>
  <si>
    <t>OP SUP-NITROGEN</t>
  </si>
  <si>
    <t>9101303500</t>
  </si>
  <si>
    <t>OP SUP-ARGON GAS</t>
  </si>
  <si>
    <t>9101303900</t>
  </si>
  <si>
    <t>OP SUP-DIESEL (FORKLIFT)</t>
  </si>
  <si>
    <t>9101304100</t>
  </si>
  <si>
    <t>OP SUP-CERAMIC ITEMS</t>
  </si>
  <si>
    <t>9101305000</t>
  </si>
  <si>
    <t>OP SUP-GRAPHITE ITEMS</t>
  </si>
  <si>
    <t>9101305100</t>
  </si>
  <si>
    <t>OP SUP-CASTER ROLL SHELL</t>
  </si>
  <si>
    <t>9101305200</t>
  </si>
  <si>
    <t>OP SUP-TOOLS</t>
  </si>
  <si>
    <t>9101305400</t>
  </si>
  <si>
    <t>OP SUP-FILTRATION MATERLS</t>
  </si>
  <si>
    <t>9101305600</t>
  </si>
  <si>
    <t>OpSup-Horning &amp; Resheaing</t>
  </si>
  <si>
    <t>9150801000</t>
  </si>
  <si>
    <t>SALARIES-BASIC</t>
  </si>
  <si>
    <t>9150801200</t>
  </si>
  <si>
    <t>SALARIES-SHIFT ALLOWANCE</t>
  </si>
  <si>
    <t>9150801400</t>
  </si>
  <si>
    <t>SALARIES-EMPLOYER'S EPF</t>
  </si>
  <si>
    <t>9150801500</t>
  </si>
  <si>
    <t>SALARIES-EMPLOYER'S</t>
  </si>
  <si>
    <t>9150801600</t>
  </si>
  <si>
    <t>SALARIES-BONUS</t>
  </si>
  <si>
    <t>SALARIES-ANNUAL LEAVE PAY</t>
  </si>
  <si>
    <t>9150801800</t>
  </si>
  <si>
    <t>SALARY &amp; LAB ON COST-MISC</t>
  </si>
  <si>
    <t>9150801900</t>
  </si>
  <si>
    <t>SAL&amp;LAB-COST-H.R.DEV LEVY</t>
  </si>
  <si>
    <t>9150900000</t>
  </si>
  <si>
    <t>9151501100</t>
  </si>
  <si>
    <t>TRAVELLING-LOCAL MILEAGE</t>
  </si>
  <si>
    <t>9151501400</t>
  </si>
  <si>
    <t>TRAVELLING-LOCAL OTHERS</t>
  </si>
  <si>
    <t>9151601000</t>
  </si>
  <si>
    <t>ENT-LOCAL BUSI MEALS&amp;BUSI</t>
  </si>
  <si>
    <t>9151601001</t>
  </si>
  <si>
    <t>LOCAL BUSI MEAL&amp;ENT-STAFF</t>
  </si>
  <si>
    <t>9151801100</t>
  </si>
  <si>
    <t>OFF EXP-STATIONARY &amp; SUPP</t>
  </si>
  <si>
    <t>9151802200</t>
  </si>
  <si>
    <t>OFF EXP-HOUSE KEEPING EXP</t>
  </si>
  <si>
    <t>9152010211</t>
  </si>
  <si>
    <t>AIR COMPRESSOR - M SUP</t>
  </si>
  <si>
    <t>9152020212</t>
  </si>
  <si>
    <t>CRANE-SAFETY MGMT SYSTEM</t>
  </si>
  <si>
    <t>9152020805</t>
  </si>
  <si>
    <t>R &amp; M-FORKLIFT NO.05</t>
  </si>
  <si>
    <t>9152023011</t>
  </si>
  <si>
    <t>OTH MECH SYST-M SUP</t>
  </si>
  <si>
    <t>9152023211</t>
  </si>
  <si>
    <t>WEIGHING SCALE-M SUP</t>
  </si>
  <si>
    <t>9152050011</t>
  </si>
  <si>
    <t>MISC EQ-M SUP</t>
  </si>
  <si>
    <t>9152090000</t>
  </si>
  <si>
    <t>R&amp;M-MODIFI/IMPROVEMENT</t>
  </si>
  <si>
    <t>9152402502</t>
  </si>
  <si>
    <t>FORKLIFT RENTAL-NO.02</t>
  </si>
  <si>
    <t>9152402506</t>
  </si>
  <si>
    <t>FORKLIFT RENTAL-NO.06</t>
  </si>
  <si>
    <t>9152402515</t>
  </si>
  <si>
    <t>FORKLIFT RENTAL - NO.15</t>
  </si>
  <si>
    <t>9152801000</t>
  </si>
  <si>
    <t>EDUCATION&amp;TRAINING-LOCAL</t>
  </si>
  <si>
    <t>9153001000</t>
  </si>
  <si>
    <t>DEPN - PLANT &amp; EQUIPMENT</t>
  </si>
  <si>
    <t>1111</t>
  </si>
  <si>
    <t>9101001000</t>
  </si>
  <si>
    <t>SALARIES-US-BASIC</t>
  </si>
  <si>
    <t>9101001100</t>
  </si>
  <si>
    <t>SALARIES-US-OT PREMIUN</t>
  </si>
  <si>
    <t>9101001200</t>
  </si>
  <si>
    <t>SALARIES-US-SHIFT ALLOW</t>
  </si>
  <si>
    <t>9101001300</t>
  </si>
  <si>
    <t>SALARIES-US-HEAT ALLOW</t>
  </si>
  <si>
    <t>9101001400</t>
  </si>
  <si>
    <t>SALARIES-US-EPF</t>
  </si>
  <si>
    <t>9101001410</t>
  </si>
  <si>
    <t>SALARIES-RB INS</t>
  </si>
  <si>
    <t>9101001500</t>
  </si>
  <si>
    <t>SALARIES-US-SOCSO</t>
  </si>
  <si>
    <t>9101001600</t>
  </si>
  <si>
    <t>SALARIES-US-BONUS</t>
  </si>
  <si>
    <t>9101001700</t>
  </si>
  <si>
    <t>SALARIES-US-A/LEAVE</t>
  </si>
  <si>
    <t>9101001800</t>
  </si>
  <si>
    <t>SALARIES-US-MISC</t>
  </si>
  <si>
    <t>9101001900</t>
  </si>
  <si>
    <t>9101101000</t>
  </si>
  <si>
    <t>WAGES-BASIC</t>
  </si>
  <si>
    <t>9101101100</t>
  </si>
  <si>
    <t>WAGES-O/T PREMIUM</t>
  </si>
  <si>
    <t>9101101200</t>
  </si>
  <si>
    <t>WAGES-SHIFT ALLOWANCE</t>
  </si>
  <si>
    <t>9101101300</t>
  </si>
  <si>
    <t>WAGES-HEAT ALLOWANCE</t>
  </si>
  <si>
    <t>9101101400</t>
  </si>
  <si>
    <t>WAGES-EMPLOYER'S EPF</t>
  </si>
  <si>
    <t>9101101410</t>
  </si>
  <si>
    <t>RB INS</t>
  </si>
  <si>
    <t>9101101500</t>
  </si>
  <si>
    <t>WAGES-EMPLOYER'S SOCSO</t>
  </si>
  <si>
    <t>9101101600</t>
  </si>
  <si>
    <t>WAGES-BONUS</t>
  </si>
  <si>
    <t>9101101700</t>
  </si>
  <si>
    <t>WAGES-ANNUAL LEAVE PAY</t>
  </si>
  <si>
    <t>9101101800</t>
  </si>
  <si>
    <t>WAGES&amp;LABOUR ON COST-MISC</t>
  </si>
  <si>
    <t>9101101900</t>
  </si>
  <si>
    <t>WAG&amp;LAB-COST-H.R.DEV LEVY</t>
  </si>
  <si>
    <t>9101102000</t>
  </si>
  <si>
    <t>FOREIGN WORKERS LEVY</t>
  </si>
  <si>
    <t>9101201000</t>
  </si>
  <si>
    <t>UTILITIES-ELECTRICITY</t>
  </si>
  <si>
    <t>9101201400</t>
  </si>
  <si>
    <t>UTILITIES-LNG</t>
  </si>
  <si>
    <t>9152014111</t>
  </si>
  <si>
    <t>COOLING TOWER - M SUP</t>
  </si>
  <si>
    <t>9152014171</t>
  </si>
  <si>
    <t>COOLING TOWER - INT LAB</t>
  </si>
  <si>
    <t>9152060111</t>
  </si>
  <si>
    <t>MELTER &amp; ASS. EQ-M SUP</t>
  </si>
  <si>
    <t>9152060121</t>
  </si>
  <si>
    <t>MELTER &amp; ASS. EQ-E SUP</t>
  </si>
  <si>
    <t>9152060211</t>
  </si>
  <si>
    <t>HOLDER &amp; ASS EQ-M SUP</t>
  </si>
  <si>
    <t>9152060311</t>
  </si>
  <si>
    <t>CASTER &amp; ASS EQ-M SUP</t>
  </si>
  <si>
    <t>9152060321</t>
  </si>
  <si>
    <t>CASTER &amp; ASS EQ-E SUP</t>
  </si>
  <si>
    <t>9152060411</t>
  </si>
  <si>
    <t>MELT TREATMENT SYST-M SUP</t>
  </si>
  <si>
    <t>9152060421</t>
  </si>
  <si>
    <t>MELT TREATMENT SYST-E SUP</t>
  </si>
  <si>
    <t>9152091000</t>
  </si>
  <si>
    <t>R&amp;M-SHUTDOWN EXPENSES</t>
  </si>
  <si>
    <t>9152402520</t>
  </si>
  <si>
    <t>FORKLIFT RENTAL - NO 20</t>
  </si>
  <si>
    <t>1112</t>
  </si>
  <si>
    <t>OP SUP-TIP SECTIONS</t>
  </si>
  <si>
    <t>9152060511</t>
  </si>
  <si>
    <t>ROLL &amp; SHELL-M SUP</t>
  </si>
  <si>
    <t>1113</t>
  </si>
  <si>
    <t>COOLING SYSTEM - M SUP</t>
  </si>
  <si>
    <t>COOLING SYSTEM - INT LAB</t>
  </si>
  <si>
    <t>9152020121</t>
  </si>
  <si>
    <t>R&amp;M CRANE 25 &amp; 8T-E SUP</t>
  </si>
  <si>
    <t>9152402526</t>
  </si>
  <si>
    <t>FORKLIFT RENTAL-NO.26</t>
  </si>
  <si>
    <t>1118</t>
  </si>
  <si>
    <t>9151001000</t>
  </si>
  <si>
    <t>9151001100</t>
  </si>
  <si>
    <t>SALARIES-O/T PREMIUM</t>
  </si>
  <si>
    <t>9151001200</t>
  </si>
  <si>
    <t>9151001400</t>
  </si>
  <si>
    <t>9151001410</t>
  </si>
  <si>
    <t>9151001500</t>
  </si>
  <si>
    <t>SALARIES-EMPLOYER'S SOCSO</t>
  </si>
  <si>
    <t>9151001600</t>
  </si>
  <si>
    <t>9151001700</t>
  </si>
  <si>
    <t>9151001800</t>
  </si>
  <si>
    <t>9151001900</t>
  </si>
  <si>
    <t>9151101000</t>
  </si>
  <si>
    <t>9151101100</t>
  </si>
  <si>
    <t>9151101200</t>
  </si>
  <si>
    <t>9151101300</t>
  </si>
  <si>
    <t>9151101400</t>
  </si>
  <si>
    <t>9151101410</t>
  </si>
  <si>
    <t>9151101500</t>
  </si>
  <si>
    <t>9151101600</t>
  </si>
  <si>
    <t>9151101700</t>
  </si>
  <si>
    <t>9151101800</t>
  </si>
  <si>
    <t>9151101900</t>
  </si>
  <si>
    <t>9151301500</t>
  </si>
  <si>
    <t>OP SUPP-SAFETY EQUIP&amp; MAT</t>
  </si>
  <si>
    <t>9151302500</t>
  </si>
  <si>
    <t>OP SUPP- MISCELLANEOUS</t>
  </si>
  <si>
    <t>9152023221</t>
  </si>
  <si>
    <t>WEIGHING SCALE-E SUP</t>
  </si>
  <si>
    <t>9152050021</t>
  </si>
  <si>
    <t>MISC EQ-E SUP</t>
  </si>
  <si>
    <t>9152402517</t>
  </si>
  <si>
    <t>FORKLIFT RENTAL - NO 17</t>
  </si>
  <si>
    <t>1120</t>
  </si>
  <si>
    <t>9101303800</t>
  </si>
  <si>
    <t>9101306300</t>
  </si>
  <si>
    <t>OP SUP-WASTE DISPOSAL</t>
  </si>
  <si>
    <t>9151801300</t>
  </si>
  <si>
    <t>OFF EXP- COMPUTER SUPP</t>
  </si>
  <si>
    <t>9151801500</t>
  </si>
  <si>
    <t>OFF EXP-COURIER &amp; DELIVER</t>
  </si>
  <si>
    <t>9152010271</t>
  </si>
  <si>
    <t>AIR COMPRESSOR - INT LAB</t>
  </si>
  <si>
    <t>9152010311</t>
  </si>
  <si>
    <t>R&amp;M-FIRE FIGHTING SYS-MAT</t>
  </si>
  <si>
    <t>9152014311</t>
  </si>
  <si>
    <t>R&amp;M-ROLL COOLING-M SUP</t>
  </si>
  <si>
    <t>9152020111</t>
  </si>
  <si>
    <t>CRANE-M SUP</t>
  </si>
  <si>
    <t>9152020171</t>
  </si>
  <si>
    <t>CRANE-INT LAB</t>
  </si>
  <si>
    <t>9152020804</t>
  </si>
  <si>
    <t>R &amp; M-FORKLIFT NO.04</t>
  </si>
  <si>
    <t>9152023111</t>
  </si>
  <si>
    <t>HYDRALIC-M SUP</t>
  </si>
  <si>
    <t>9152062011</t>
  </si>
  <si>
    <t>MILL &amp; ASS EQ-M SUP</t>
  </si>
  <si>
    <t>9152062021</t>
  </si>
  <si>
    <t>MILL &amp; ASS EQ-E SUP</t>
  </si>
  <si>
    <t>9152080011</t>
  </si>
  <si>
    <t>R&amp;M-COIL MILL FIRE-M/SUP</t>
  </si>
  <si>
    <t>9152402528</t>
  </si>
  <si>
    <t>FORKLIFT RENTAL-NO.28</t>
  </si>
  <si>
    <t>1121</t>
  </si>
  <si>
    <t>9101303600</t>
  </si>
  <si>
    <t>OP SUP-SPOOLS(AL,STEEL&amp;P)</t>
  </si>
  <si>
    <t>9152062811</t>
  </si>
  <si>
    <t>EDGE TRIM &amp; ASS EQ-M SUP</t>
  </si>
  <si>
    <t>9152062821</t>
  </si>
  <si>
    <t>EDGE TRIM &amp; ASS EQ-E SUP</t>
  </si>
  <si>
    <t>1130</t>
  </si>
  <si>
    <t>OP SUP-LUBRILUM OIL</t>
  </si>
  <si>
    <t>9152402511</t>
  </si>
  <si>
    <t>FORKLIFT RENTAL-NO.11</t>
  </si>
  <si>
    <t>9152804000</t>
  </si>
  <si>
    <t>HRD Refund</t>
  </si>
  <si>
    <t>1135</t>
  </si>
  <si>
    <t>9151502000</t>
  </si>
  <si>
    <t>TRAVELLING-OVERSEAS AIR</t>
  </si>
  <si>
    <t>9151502200</t>
  </si>
  <si>
    <t>TRAVELLING-OVERSEAS OTHER</t>
  </si>
  <si>
    <t>9151602100</t>
  </si>
  <si>
    <t>ENTERTAINMENT-O/SEA ACCOM</t>
  </si>
  <si>
    <t>1140</t>
  </si>
  <si>
    <t>9101303300</t>
  </si>
  <si>
    <t>OP SUP-SLITTING CHARGES</t>
  </si>
  <si>
    <t>ENTERTAINMENT-LOCAL MEALS</t>
  </si>
  <si>
    <t>9151802100</t>
  </si>
  <si>
    <t>OFF EXP-EQUIP&amp;FURNI (NEW)</t>
  </si>
  <si>
    <t>9152402503</t>
  </si>
  <si>
    <t>FORKLIFT RENTAL-NO.03</t>
  </si>
  <si>
    <t>1141</t>
  </si>
  <si>
    <t>9152066011</t>
  </si>
  <si>
    <t>H.G.S. &amp; ASS EQ-M SUP</t>
  </si>
  <si>
    <t>1142</t>
  </si>
  <si>
    <t>9152066111</t>
  </si>
  <si>
    <t>EMBOSSER-M SUP</t>
  </si>
  <si>
    <t>1143</t>
  </si>
  <si>
    <t>9152066221</t>
  </si>
  <si>
    <t>C.T.L &amp; ASS EQ-E SUP</t>
  </si>
  <si>
    <t>9152066311</t>
  </si>
  <si>
    <t>NEW CTL &amp; ASS EQ-M SUP</t>
  </si>
  <si>
    <t>9152066321</t>
  </si>
  <si>
    <t>NEW CTL &amp; ASS EQ-E SUP</t>
  </si>
  <si>
    <t>1144</t>
  </si>
  <si>
    <t>9152066411</t>
  </si>
  <si>
    <t>WEIGER SHEAR-M SUP</t>
  </si>
  <si>
    <t>1146</t>
  </si>
  <si>
    <t>9152066611</t>
  </si>
  <si>
    <t>STRETCHER-M SUP</t>
  </si>
  <si>
    <t>1147</t>
  </si>
  <si>
    <t>9152011211</t>
  </si>
  <si>
    <t>ANNEALING - M SUP</t>
  </si>
  <si>
    <t>9152011221</t>
  </si>
  <si>
    <t>ANNEALING - E SUP</t>
  </si>
  <si>
    <t>9152066711</t>
  </si>
  <si>
    <t>ANNEALER NO 1-M SUP</t>
  </si>
  <si>
    <t>9152066811</t>
  </si>
  <si>
    <t>ANNEALER NO 2-M SUP</t>
  </si>
  <si>
    <t>1150</t>
  </si>
  <si>
    <t>1151</t>
  </si>
  <si>
    <t>9152067311</t>
  </si>
  <si>
    <t>ROLL FORMER-M SUP</t>
  </si>
  <si>
    <t>9152067711</t>
  </si>
  <si>
    <t>R&amp;M NEW ROLL FORMER-M SUP</t>
  </si>
  <si>
    <t>9152067712</t>
  </si>
  <si>
    <t>R&amp;M NEW ROLL FORMER-E SUP</t>
  </si>
  <si>
    <t>1152</t>
  </si>
  <si>
    <t>9152067811</t>
  </si>
  <si>
    <t>INCO CTL &amp; ASS EQ</t>
  </si>
  <si>
    <t>1160</t>
  </si>
  <si>
    <t>9101303100</t>
  </si>
  <si>
    <t>OP SUP-LACQUERING CHARGES</t>
  </si>
  <si>
    <t>9152402521</t>
  </si>
  <si>
    <t>FORKLIFT RENTAL - NO.21</t>
  </si>
  <si>
    <t>1161</t>
  </si>
  <si>
    <t>9152068111</t>
  </si>
  <si>
    <t>LGS &amp; ASS EQ-M SUP</t>
  </si>
  <si>
    <t>9152068121</t>
  </si>
  <si>
    <t>LGS &amp; ASS EQ-E SUP</t>
  </si>
  <si>
    <t>1162</t>
  </si>
  <si>
    <t>9152068211</t>
  </si>
  <si>
    <t>FOIL ANNEALERS-M SUP</t>
  </si>
  <si>
    <t>9152068221</t>
  </si>
  <si>
    <t>FOIL ANNEALERS-E SUP</t>
  </si>
  <si>
    <t>1163</t>
  </si>
  <si>
    <t>1164</t>
  </si>
  <si>
    <t>9152068411</t>
  </si>
  <si>
    <t>SEPARATOR-M SUP</t>
  </si>
  <si>
    <t>1165</t>
  </si>
  <si>
    <t>9152067611</t>
  </si>
  <si>
    <t>R&amp;M NARRW W SLITTER-M SUP</t>
  </si>
  <si>
    <t>1166</t>
  </si>
  <si>
    <t>1170</t>
  </si>
  <si>
    <t>9101400000</t>
  </si>
  <si>
    <t>PACK MAT-OTHERS</t>
  </si>
  <si>
    <t>9101401000</t>
  </si>
  <si>
    <t>PACK MAT-CARTON&amp;CARDBOARD</t>
  </si>
  <si>
    <t>9101401100</t>
  </si>
  <si>
    <t>PACK MAT-TIMBER PLANK</t>
  </si>
  <si>
    <t>9101401200</t>
  </si>
  <si>
    <t>PACK MAT-PLATIC SHEETS</t>
  </si>
  <si>
    <t>9101401300</t>
  </si>
  <si>
    <t>PACK MAT-CELLOPHANE TAPE</t>
  </si>
  <si>
    <t>9101401400</t>
  </si>
  <si>
    <t>PACK MAT-NAILS</t>
  </si>
  <si>
    <t>9101401500</t>
  </si>
  <si>
    <t>PACK MAT-TIMBER PLYWOOD</t>
  </si>
  <si>
    <t>9101401600</t>
  </si>
  <si>
    <t>PACK MAT-FAB BOXES/BATTEN</t>
  </si>
  <si>
    <t>9101401700</t>
  </si>
  <si>
    <t>P/MAT-RTRN/RECYCLE PALLET</t>
  </si>
  <si>
    <t>9151801700</t>
  </si>
  <si>
    <t>OFF EXP-SOFTWARE PURCHASE</t>
  </si>
  <si>
    <t>9152020813</t>
  </si>
  <si>
    <t>R &amp; M-FORKLIFT NO.13</t>
  </si>
  <si>
    <t>9152023271</t>
  </si>
  <si>
    <t>WEIGHING SCALE-INT LAB</t>
  </si>
  <si>
    <t>9152028011</t>
  </si>
  <si>
    <t>OTH CARPENTRY EQ-M SUP</t>
  </si>
  <si>
    <t>9152402513</t>
  </si>
  <si>
    <t>FORKLIFT RENTAL-NO.13</t>
  </si>
  <si>
    <t>1171</t>
  </si>
  <si>
    <t>1210</t>
  </si>
  <si>
    <t>SALARIES-ANNUAL LEAVE</t>
  </si>
  <si>
    <t>9151501000</t>
  </si>
  <si>
    <t>9151701010</t>
  </si>
  <si>
    <t>Handphone Charges</t>
  </si>
  <si>
    <t>9152072071</t>
  </si>
  <si>
    <t>QUANTOMETER-INT LAB</t>
  </si>
  <si>
    <t>9152501400</t>
  </si>
  <si>
    <t>PROF CONSULTANCY &amp; SVC</t>
  </si>
  <si>
    <t>9152701133</t>
  </si>
  <si>
    <t>VEHICLE EXP-INS WMK 9860</t>
  </si>
  <si>
    <t>9153601000</t>
  </si>
  <si>
    <t>CLUB MEMBERSHIP&amp;REC</t>
  </si>
  <si>
    <t>1310</t>
  </si>
  <si>
    <t>9151201000</t>
  </si>
  <si>
    <t>UTILITIES- ELETRICITY</t>
  </si>
  <si>
    <t>9151501339</t>
  </si>
  <si>
    <t>TRAV-PETROL-WKU 8536</t>
  </si>
  <si>
    <t>9151701000</t>
  </si>
  <si>
    <t>TELECOMMUNICATION- PHONE</t>
  </si>
  <si>
    <t>9151801200</t>
  </si>
  <si>
    <t>OFF EXP-EQUIP&amp;OFF RENTAL</t>
  </si>
  <si>
    <t>9152025111</t>
  </si>
  <si>
    <t>AIR COND SYST-M SUP</t>
  </si>
  <si>
    <t>9152071011</t>
  </si>
  <si>
    <t>ROLL GRINDER-M SUP</t>
  </si>
  <si>
    <t>9152071311</t>
  </si>
  <si>
    <t>F/MILL R/GRINDING-M SUP</t>
  </si>
  <si>
    <t>9152701039</t>
  </si>
  <si>
    <t>VEHICLE EXP-R&amp;M-WKU 8536</t>
  </si>
  <si>
    <t>9152701139</t>
  </si>
  <si>
    <t>VEHICLE EXP-INS-WKU 8536</t>
  </si>
  <si>
    <t>9152701239</t>
  </si>
  <si>
    <t>VEHICLE EXP-R/TAX-WKU8536</t>
  </si>
  <si>
    <t>9153700000</t>
  </si>
  <si>
    <t>PRO M'SHIP&amp;SUB-INDIVIDUAL</t>
  </si>
  <si>
    <t>1320</t>
  </si>
  <si>
    <t>9152071111</t>
  </si>
  <si>
    <t>CASTER R/GRINDING-M SUP</t>
  </si>
  <si>
    <t>9152071211</t>
  </si>
  <si>
    <t>C/MILL R/GRINDING-M SUP</t>
  </si>
  <si>
    <t>1410</t>
  </si>
  <si>
    <t>9153001400</t>
  </si>
  <si>
    <t>DEPN - COMPUTER EQMT</t>
  </si>
  <si>
    <t>1420</t>
  </si>
  <si>
    <t>9152040011</t>
  </si>
  <si>
    <t>OTH BUILDING-M SUP</t>
  </si>
  <si>
    <t>9152040021</t>
  </si>
  <si>
    <t>OTH BUILDING-E SUP</t>
  </si>
  <si>
    <t>9152040111</t>
  </si>
  <si>
    <t>FACTORY BUILDING-M SUP</t>
  </si>
  <si>
    <t>9152040121</t>
  </si>
  <si>
    <t>FACTORY BUILDING-E SUP</t>
  </si>
  <si>
    <t>9152040211</t>
  </si>
  <si>
    <t>ADMIN BUILDING-M SUP</t>
  </si>
  <si>
    <t>9152040221</t>
  </si>
  <si>
    <t>ADMIN BUILDING-E SUP</t>
  </si>
  <si>
    <t>9152041011</t>
  </si>
  <si>
    <t>ROAD,YARD,DRAINAGE-M SUP</t>
  </si>
  <si>
    <t>9153001300</t>
  </si>
  <si>
    <t>DEPN - BUILDING</t>
  </si>
  <si>
    <t>1440</t>
  </si>
  <si>
    <t>9151801800</t>
  </si>
  <si>
    <t>OFF EXP-MISC</t>
  </si>
  <si>
    <t>9152020819</t>
  </si>
  <si>
    <t>R &amp; M-FORKLIFT NO.19</t>
  </si>
  <si>
    <t>1450</t>
  </si>
  <si>
    <t>TRAV-LOCAL MLAGE-VARIABLE</t>
  </si>
  <si>
    <t>9152072800</t>
  </si>
  <si>
    <t>R&amp;M - TELECOMM. EQUIPMENT</t>
  </si>
  <si>
    <t>9152402000</t>
  </si>
  <si>
    <t>SP SVC CONTRACT MAINT.</t>
  </si>
  <si>
    <t>1460</t>
  </si>
  <si>
    <t>9151701200</t>
  </si>
  <si>
    <t>TELECOMMUNICATION-FASIMIL</t>
  </si>
  <si>
    <t>9152072700</t>
  </si>
  <si>
    <t>R&amp;M - OFFICE FURNITURE</t>
  </si>
  <si>
    <t>9153401610</t>
  </si>
  <si>
    <t>A&amp;P-GIFTS-wo CO LOGO/NAME</t>
  </si>
  <si>
    <t>1510</t>
  </si>
  <si>
    <t>9151301600</t>
  </si>
  <si>
    <t>OP SUPP -HOUSEKEEPING</t>
  </si>
  <si>
    <t>9151301900</t>
  </si>
  <si>
    <t>OP SUPP-WORK CANTEEN EXP</t>
  </si>
  <si>
    <t>9151501319</t>
  </si>
  <si>
    <t>TRAV-PETROL-WJJ9155</t>
  </si>
  <si>
    <t>9151501320</t>
  </si>
  <si>
    <t>TRAV.PETROL-WKE 5703</t>
  </si>
  <si>
    <t>9151501323</t>
  </si>
  <si>
    <t>TRAV-PETROL-WKG3732</t>
  </si>
  <si>
    <t>TRAV-PETROL-WPC425</t>
  </si>
  <si>
    <t>9151501334</t>
  </si>
  <si>
    <t>PETROL - BKB 150</t>
  </si>
  <si>
    <t>9151801000</t>
  </si>
  <si>
    <t>OFF EXP- POSTAGE</t>
  </si>
  <si>
    <t>9151801400</t>
  </si>
  <si>
    <t>OFF EXP-DRINKS&amp;CLEAN'G SV</t>
  </si>
  <si>
    <t>9151802000</t>
  </si>
  <si>
    <t>OFF EXP-WORKS CANTEEN</t>
  </si>
  <si>
    <t>9152020814</t>
  </si>
  <si>
    <t>R &amp; M-FORKLIFT NO.14</t>
  </si>
  <si>
    <t>9152701019</t>
  </si>
  <si>
    <t>VEHICLE EXP-R&amp;M WJJ9155</t>
  </si>
  <si>
    <t>9152701020</t>
  </si>
  <si>
    <t>VEHICLE EXP-R&amp;M-WKE 5703</t>
  </si>
  <si>
    <t>9152701023</t>
  </si>
  <si>
    <t>VEHICLE EXP-R&amp;M-WKG3732</t>
  </si>
  <si>
    <t>VEHICLE EXP-R&amp;M WPC425</t>
  </si>
  <si>
    <t>9152701034</t>
  </si>
  <si>
    <t>VEHICLE EXO-R&amp;M-BKB 150</t>
  </si>
  <si>
    <t>9152701119</t>
  </si>
  <si>
    <t>VEHICLE EXP-INS WJJ9155</t>
  </si>
  <si>
    <t>9152701120</t>
  </si>
  <si>
    <t>VEHICLE EXP-INS.-WKE 5703</t>
  </si>
  <si>
    <t>9152701123</t>
  </si>
  <si>
    <t>VEHICLE EXP-INS-WKG3732</t>
  </si>
  <si>
    <t>9152701127</t>
  </si>
  <si>
    <t>VEHICLE EXP-INS-WPC425</t>
  </si>
  <si>
    <t>9152701134</t>
  </si>
  <si>
    <t>VEHICLE EXP-INS-BKB 150</t>
  </si>
  <si>
    <t>9152701220</t>
  </si>
  <si>
    <t>VEHICLE EXP-R.TAX-WKE5703</t>
  </si>
  <si>
    <t>VEHICLE EXP-R/TAX WPC425</t>
  </si>
  <si>
    <t>9152701234</t>
  </si>
  <si>
    <t>VEHICLE EXP-R/TAX-BKB 150</t>
  </si>
  <si>
    <t>9153101300</t>
  </si>
  <si>
    <t>MISC-LICIENCE FEES</t>
  </si>
  <si>
    <t>9153301100</t>
  </si>
  <si>
    <t>SPACE COST-ASS&amp; QUIT RENT</t>
  </si>
  <si>
    <t>1530</t>
  </si>
  <si>
    <t>9151501350</t>
  </si>
  <si>
    <t>TRAVEL PETROL - BHW 8207</t>
  </si>
  <si>
    <t>9152402200</t>
  </si>
  <si>
    <t>SP SVC - ISO 14001</t>
  </si>
  <si>
    <t>9152600000</t>
  </si>
  <si>
    <t>INSURANCE</t>
  </si>
  <si>
    <t>9152701050</t>
  </si>
  <si>
    <t>VEHICLE EXP-R&amp;M-BHW 8207</t>
  </si>
  <si>
    <t>9152701150</t>
  </si>
  <si>
    <t>VEHICLE EXP-INS-BHW8207</t>
  </si>
  <si>
    <t>9153201000</t>
  </si>
  <si>
    <t>Expatriate Expenses</t>
  </si>
  <si>
    <t>A&amp;P-GIFTS-w CO LOGO/NAME</t>
  </si>
  <si>
    <t>1540</t>
  </si>
  <si>
    <t>9151306300</t>
  </si>
  <si>
    <t>WASTE DISPOSAL</t>
  </si>
  <si>
    <t>9152401900</t>
  </si>
  <si>
    <t>SP SVC-SAFETY EQPT&amp;APPARL</t>
  </si>
  <si>
    <t>9152403100</t>
  </si>
  <si>
    <t>SP SVC-GENERAL PUBLICTION</t>
  </si>
  <si>
    <t>9154500000</t>
  </si>
  <si>
    <t>EOH&amp;S</t>
  </si>
  <si>
    <t>1550</t>
  </si>
  <si>
    <t>5301501320</t>
  </si>
  <si>
    <t>TRAV-PETROL-WKE5703</t>
  </si>
  <si>
    <t>5301501347</t>
  </si>
  <si>
    <t>TRAVEL PETROL - BJC 507</t>
  </si>
  <si>
    <t>5302301100</t>
  </si>
  <si>
    <t>MEDICAL-OUT-PATIENTS</t>
  </si>
  <si>
    <t>5305201000</t>
  </si>
  <si>
    <t>EMPLOYEE'S WELFARE</t>
  </si>
  <si>
    <t>9151302700</t>
  </si>
  <si>
    <t>UNIFORMS(SHIRTS&amp;PANTS)</t>
  </si>
  <si>
    <t>9152301000</t>
  </si>
  <si>
    <t>MEDICAL-HOSPITALISATION</t>
  </si>
  <si>
    <t>9152301100</t>
  </si>
  <si>
    <t>MEDICAL-OUT PATIENTS</t>
  </si>
  <si>
    <t>9152301300</t>
  </si>
  <si>
    <t>MEDICINES</t>
  </si>
  <si>
    <t>9152403300</t>
  </si>
  <si>
    <t>SP SVC-RECRUITMENT</t>
  </si>
  <si>
    <t>9155201000</t>
  </si>
  <si>
    <t>EMPLOYEE WELFARE</t>
  </si>
  <si>
    <t>9155202000</t>
  </si>
  <si>
    <t>WORKERS' HOSTEL EXPENSES</t>
  </si>
  <si>
    <t>1610</t>
  </si>
  <si>
    <t>9152020822</t>
  </si>
  <si>
    <t>R &amp; M-FORKLIFT NO.22</t>
  </si>
  <si>
    <t>9152402507</t>
  </si>
  <si>
    <t>FORKLIFT RENTAL-NO.07</t>
  </si>
  <si>
    <t>1800</t>
  </si>
  <si>
    <t>5302403400</t>
  </si>
  <si>
    <t>SP SVC-PAYROLL PROCESSING</t>
  </si>
  <si>
    <t>5302501110</t>
  </si>
  <si>
    <t>LGL&amp;PROF-AUDIT FEES</t>
  </si>
  <si>
    <t>5302501200</t>
  </si>
  <si>
    <t>LGL&amp;PROF-SECRETARIAL EXP</t>
  </si>
  <si>
    <t>5302501400</t>
  </si>
  <si>
    <t>LGL&amp;PROF-PROF CONSLTCY&amp;SV</t>
  </si>
  <si>
    <t>5302501610</t>
  </si>
  <si>
    <t>LGL&amp;PROF-TAXATION&amp;ACC.FEE</t>
  </si>
  <si>
    <t>5302901200</t>
  </si>
  <si>
    <t>AGM - MISCELLANEOUS</t>
  </si>
  <si>
    <t>5303001100</t>
  </si>
  <si>
    <t>DEPRN-LEASEHOLD LAND</t>
  </si>
  <si>
    <t>5303001200</t>
  </si>
  <si>
    <t>DEPRN-BUILDINGS</t>
  </si>
  <si>
    <t>5304001000</t>
  </si>
  <si>
    <t>DIRECTOR'S FEE&amp;REMUNERATN</t>
  </si>
  <si>
    <t>5304001100</t>
  </si>
  <si>
    <t>DIRECTORS BOARD MTG. EXP.</t>
  </si>
  <si>
    <t>5308000200</t>
  </si>
  <si>
    <t>ANSC-Share of Corp Exp</t>
  </si>
  <si>
    <t>1810</t>
  </si>
  <si>
    <t>5300801000</t>
  </si>
  <si>
    <t>5300801400</t>
  </si>
  <si>
    <t>5300801500</t>
  </si>
  <si>
    <t>5300801600</t>
  </si>
  <si>
    <t>5300801900</t>
  </si>
  <si>
    <t>5301501100</t>
  </si>
  <si>
    <t>5301501400</t>
  </si>
  <si>
    <t>TRAVELLING - LOCAL OTHERS</t>
  </si>
  <si>
    <t>5301601000</t>
  </si>
  <si>
    <t>5301601001</t>
  </si>
  <si>
    <t>5301801100</t>
  </si>
  <si>
    <t>OFF EXP-STATIONARY&amp;SUPPL</t>
  </si>
  <si>
    <t>5301801300</t>
  </si>
  <si>
    <t>OFF EXP-COMPUTER SUPPLIES</t>
  </si>
  <si>
    <t>5301801700</t>
  </si>
  <si>
    <t>5301801800</t>
  </si>
  <si>
    <t>5302201100</t>
  </si>
  <si>
    <t>R&amp;M-COMPUTER EQUIPMENT</t>
  </si>
  <si>
    <t>5302401000</t>
  </si>
  <si>
    <t>SP SVC-COMP S'WARE PURCH</t>
  </si>
  <si>
    <t>5302402000</t>
  </si>
  <si>
    <t>SP SVC-CONTRACT MAINTNCE</t>
  </si>
  <si>
    <t>5302801000</t>
  </si>
  <si>
    <t>5303001400</t>
  </si>
  <si>
    <t>DEPRN-COMPUTER EQUIPMENT</t>
  </si>
  <si>
    <t>1820</t>
  </si>
  <si>
    <t>5301501330</t>
  </si>
  <si>
    <t>TRAV-PETROL_BHL7828</t>
  </si>
  <si>
    <t>5301502000</t>
  </si>
  <si>
    <t>TRAVELLING-O'SEAS AIR</t>
  </si>
  <si>
    <t>5301502200</t>
  </si>
  <si>
    <t>TRAV - OVERSEAS OTHERS</t>
  </si>
  <si>
    <t>5301701000</t>
  </si>
  <si>
    <t>TELEPHONE</t>
  </si>
  <si>
    <t>5301701010</t>
  </si>
  <si>
    <t>HANDPHONE CHARGES</t>
  </si>
  <si>
    <t>5301801500</t>
  </si>
  <si>
    <t>OFF EXP-COURIER&amp;DELRY CHG</t>
  </si>
  <si>
    <t>5301802100</t>
  </si>
  <si>
    <t>5302403100</t>
  </si>
  <si>
    <t>5302501000</t>
  </si>
  <si>
    <t>LGL&amp;PROF-LEGAL EXPENSES</t>
  </si>
  <si>
    <t>5302600000</t>
  </si>
  <si>
    <t>5302701030</t>
  </si>
  <si>
    <t>VEHICLE EXP-R&amp;M BHL7828</t>
  </si>
  <si>
    <t>5302701130</t>
  </si>
  <si>
    <t>VECHLE EXP-INS-BHL7828</t>
  </si>
  <si>
    <t>5303001600</t>
  </si>
  <si>
    <t>DEPRN-COMPANY VEHICLES</t>
  </si>
  <si>
    <t>5303401600</t>
  </si>
  <si>
    <t>5303501112</t>
  </si>
  <si>
    <t>MISC CHGS-BANKER'S REPORT</t>
  </si>
  <si>
    <t>5303601000</t>
  </si>
  <si>
    <t>CLUBS-RECRTNL-M'SHIP&amp;SUBS</t>
  </si>
  <si>
    <t>5303700000</t>
  </si>
  <si>
    <t>1830</t>
  </si>
  <si>
    <t>5301001600</t>
  </si>
  <si>
    <t>SALARIES - BONUS</t>
  </si>
  <si>
    <t>5301002000</t>
  </si>
  <si>
    <t>LTIP</t>
  </si>
  <si>
    <t>5301501319</t>
  </si>
  <si>
    <t>5301501363</t>
  </si>
  <si>
    <t>TRAV-PETROL-WPG 1923</t>
  </si>
  <si>
    <t>5301601100</t>
  </si>
  <si>
    <t>ENT-LOCAL ACCOMMODATION</t>
  </si>
  <si>
    <t>5301602100</t>
  </si>
  <si>
    <t>ENT-O'SEAS ACCOMMODATION</t>
  </si>
  <si>
    <t>5301701200</t>
  </si>
  <si>
    <t>FACSIMILE</t>
  </si>
  <si>
    <t>5302403000</t>
  </si>
  <si>
    <t>SP SVC-PR,CONTRBTN,DONATN</t>
  </si>
  <si>
    <t>5302701019</t>
  </si>
  <si>
    <t>VEHICLE EXP-R&amp;M-WJJ9155</t>
  </si>
  <si>
    <t>5302701063</t>
  </si>
  <si>
    <t>VEHICLE EXP-R&amp;M-WPG 1923</t>
  </si>
  <si>
    <t>5302701163</t>
  </si>
  <si>
    <t>VEHICLE EXP-INS-WPG 1923</t>
  </si>
  <si>
    <t>5303601100</t>
  </si>
  <si>
    <t>CO. M'SHIP-TRADE ASSOC.</t>
  </si>
  <si>
    <t>1850</t>
  </si>
  <si>
    <t>5302301000</t>
  </si>
  <si>
    <t>5302403300</t>
  </si>
  <si>
    <t>5302701047</t>
  </si>
  <si>
    <t>VEHICLE EXP-R&amp;M-BJC 507</t>
  </si>
  <si>
    <t>5302701147</t>
  </si>
  <si>
    <t>VEHICLE EXP-INS-BJC 507</t>
  </si>
  <si>
    <t>5302701247</t>
  </si>
  <si>
    <t>VEHICLE EXP-R/TAX-BJC 507</t>
  </si>
  <si>
    <t>5303801000</t>
  </si>
  <si>
    <t>DCCS-RETIREMENT BENEFIT</t>
  </si>
  <si>
    <t>1910</t>
  </si>
  <si>
    <t>5301501310</t>
  </si>
  <si>
    <t>TRAV-PETROL-BKX5806</t>
  </si>
  <si>
    <t>5301501324</t>
  </si>
  <si>
    <t>TRAV-PETROL-WKG 3735</t>
  </si>
  <si>
    <t>5301602000</t>
  </si>
  <si>
    <t>ENT-O'SEAS BUSI MEALS&amp;ENT</t>
  </si>
  <si>
    <t>5302701110</t>
  </si>
  <si>
    <t>VEHICLE EXP-INS-BKX5806</t>
  </si>
  <si>
    <t>VEHICLE EXP-INS-WKG3735</t>
  </si>
  <si>
    <t>1930</t>
  </si>
  <si>
    <t>5301201000</t>
  </si>
  <si>
    <t>UTILITIES-ELECTRICITYY</t>
  </si>
  <si>
    <t>5301201300</t>
  </si>
  <si>
    <t>UTILITIES-WATER</t>
  </si>
  <si>
    <t>5301501000</t>
  </si>
  <si>
    <t>TRAVELLING - LOCAL AIR</t>
  </si>
  <si>
    <t>5301501326</t>
  </si>
  <si>
    <t>TRAV-PETROL-WRC 3502</t>
  </si>
  <si>
    <t>5301501327</t>
  </si>
  <si>
    <t>5301801000</t>
  </si>
  <si>
    <t>5302701026</t>
  </si>
  <si>
    <t>VEHICLE EXP-R&amp;M-WRC 3502</t>
  </si>
  <si>
    <t>5302701027</t>
  </si>
  <si>
    <t>5302701126</t>
  </si>
  <si>
    <t>VEHICLE EXP-INS-WRC 3502</t>
  </si>
  <si>
    <t>5303401610</t>
  </si>
  <si>
    <t>5303402000</t>
  </si>
  <si>
    <t>ADV&amp;PROM-SAMPLES</t>
  </si>
  <si>
    <t>1931</t>
  </si>
  <si>
    <t>5301001000</t>
  </si>
  <si>
    <t>SALARIES - BASIC</t>
  </si>
  <si>
    <t>SALARIES - O/T PREMIUM</t>
  </si>
  <si>
    <t>5301001400</t>
  </si>
  <si>
    <t>SALARIES - EMPLOYER'S EPF</t>
  </si>
  <si>
    <t>5301001500</t>
  </si>
  <si>
    <t>5301001900</t>
  </si>
  <si>
    <t>5301501331</t>
  </si>
  <si>
    <t>TRAV-PETROL-WMM5015</t>
  </si>
  <si>
    <t>5301501332</t>
  </si>
  <si>
    <t>TRAV-PETROL-BHP3570</t>
  </si>
  <si>
    <t>5302701031</t>
  </si>
  <si>
    <t>VEHICLE EXP-R&amp;M WMM5015</t>
  </si>
  <si>
    <t>5302701032</t>
  </si>
  <si>
    <t>VEHICLE EXP-R&amp;M- BHP 3570</t>
  </si>
  <si>
    <t>5302701131</t>
  </si>
  <si>
    <t>VEHICLE EXP-INS-WMM5015</t>
  </si>
  <si>
    <t>5302701132</t>
  </si>
  <si>
    <t>VEHICLE EXP-INS-BHP3570</t>
  </si>
  <si>
    <t>1935</t>
  </si>
  <si>
    <t>4001005011</t>
  </si>
  <si>
    <t>G/SLS-SHT-TREADPLATE</t>
  </si>
  <si>
    <t>4001010211</t>
  </si>
  <si>
    <t>G/SLS-SHT-FLAT SHEET</t>
  </si>
  <si>
    <t>4001010311</t>
  </si>
  <si>
    <t>G/SLS-SHT-CLADDING</t>
  </si>
  <si>
    <t>4001030011</t>
  </si>
  <si>
    <t>G/SLS-SHT-COIL PLAIN</t>
  </si>
  <si>
    <t>4001030111</t>
  </si>
  <si>
    <t>G/SLS-SHT-COIL &lt; 200mm</t>
  </si>
  <si>
    <t>4001110011</t>
  </si>
  <si>
    <t>G/SLS-B.SHT-PAYUNG</t>
  </si>
  <si>
    <t>4001120011</t>
  </si>
  <si>
    <t>G/SLS-B.SHT-6P</t>
  </si>
  <si>
    <t>4001130011</t>
  </si>
  <si>
    <t>G/SLS-B.SHT-ALRIB</t>
  </si>
  <si>
    <t>4001140011</t>
  </si>
  <si>
    <t>G/SLS-B.SHT-FLASHING</t>
  </si>
  <si>
    <t>4001510520</t>
  </si>
  <si>
    <t>G/SLS-FINSTOCK &gt; 500mm</t>
  </si>
  <si>
    <t>4001610011</t>
  </si>
  <si>
    <t>G/SLS-FOIL-CABLE</t>
  </si>
  <si>
    <t>4001610211</t>
  </si>
  <si>
    <t>G/SLS-FOIL-LACQUERED</t>
  </si>
  <si>
    <t>4001610311</t>
  </si>
  <si>
    <t>4001610611</t>
  </si>
  <si>
    <t>PLAIN FOIL 020 UM</t>
  </si>
  <si>
    <t>4001610811</t>
  </si>
  <si>
    <t>G/SLS-FOIL-PLAIN 9UM-8UM</t>
  </si>
  <si>
    <t>4001610911</t>
  </si>
  <si>
    <t>SALES-FOIL 6-7UM INSULATN</t>
  </si>
  <si>
    <t>4001611011</t>
  </si>
  <si>
    <t>SALES-FOIL 6-7UM(FLEXIPAC</t>
  </si>
  <si>
    <t>4011010211</t>
  </si>
  <si>
    <t>RETURNS-SHT-FLAT SHEET</t>
  </si>
  <si>
    <t>4011030011</t>
  </si>
  <si>
    <t>RETURNS-SHT-COIL PLAIN</t>
  </si>
  <si>
    <t>4011030111</t>
  </si>
  <si>
    <t>RETURNS-SHT-COIL &lt; 200mm</t>
  </si>
  <si>
    <t>4011510520</t>
  </si>
  <si>
    <t>RETURNS-FINSTOCK &gt; 500MM</t>
  </si>
  <si>
    <t>4011610011</t>
  </si>
  <si>
    <t>RETURNS-FOIL-CABLE</t>
  </si>
  <si>
    <t>4011610211</t>
  </si>
  <si>
    <t>RETURNS-FOIL-LACQUERED</t>
  </si>
  <si>
    <t>4011610311</t>
  </si>
  <si>
    <t>4011610611</t>
  </si>
  <si>
    <t>RETURNS - PLAIN FOIL 20um</t>
  </si>
  <si>
    <t>4011610911</t>
  </si>
  <si>
    <t>RETN FOIL 6-7UM INSULATN</t>
  </si>
  <si>
    <t>4011611011</t>
  </si>
  <si>
    <t>RETN FOIL 6-7UM(FLEXIPACK</t>
  </si>
  <si>
    <t>4031005011</t>
  </si>
  <si>
    <t>REBATE-SHT-TREADPLATE</t>
  </si>
  <si>
    <t>4031010211</t>
  </si>
  <si>
    <t>REBATE-SHT-FLAT SHEET</t>
  </si>
  <si>
    <t>4031010311</t>
  </si>
  <si>
    <t>REBATE-SHT-CLADDING</t>
  </si>
  <si>
    <t>4031030011</t>
  </si>
  <si>
    <t>REBATE-SHT-COIL PLAIN</t>
  </si>
  <si>
    <t>4041005011</t>
  </si>
  <si>
    <t>FREIGHT-SHT-TREADPLATE</t>
  </si>
  <si>
    <t>4041010211</t>
  </si>
  <si>
    <t>FREIGHT-SHT-FLAT SHEET</t>
  </si>
  <si>
    <t>4041010311</t>
  </si>
  <si>
    <t>FREIGHT-SHT-CLADDING</t>
  </si>
  <si>
    <t>4041030011</t>
  </si>
  <si>
    <t>FREIGHT-SHT-COIL PLAIN</t>
  </si>
  <si>
    <t>4041030111</t>
  </si>
  <si>
    <t>FREIGHT-SHT-COIL &lt; 200mm</t>
  </si>
  <si>
    <t>4041110011</t>
  </si>
  <si>
    <t>FREIGHT-B.SHT-PAYUNG</t>
  </si>
  <si>
    <t>4041120011</t>
  </si>
  <si>
    <t>FREIGHT-B.SHT-6P</t>
  </si>
  <si>
    <t>4041130011</t>
  </si>
  <si>
    <t>FREIGHT-B.SHT-ALRIB</t>
  </si>
  <si>
    <t>4041140011</t>
  </si>
  <si>
    <t>FREIGHT-B.SHT-FLASHING</t>
  </si>
  <si>
    <t>4041510520</t>
  </si>
  <si>
    <t>FREIGHT-FINSTOCK &gt; 500mm</t>
  </si>
  <si>
    <t>4041610011</t>
  </si>
  <si>
    <t>FREIGHT-FOIL-CABLE</t>
  </si>
  <si>
    <t>4041610211</t>
  </si>
  <si>
    <t>FREIGHT-FOIL-LACQUERED</t>
  </si>
  <si>
    <t>4041610311</t>
  </si>
  <si>
    <t>4041610611</t>
  </si>
  <si>
    <t>FREIGHT-PLAIN FOIL 10-20m</t>
  </si>
  <si>
    <t>4041610811</t>
  </si>
  <si>
    <t>FREIGHT-FOIL-PLAIN9UM-8UM</t>
  </si>
  <si>
    <t>4041610911</t>
  </si>
  <si>
    <t>FREIGHT FOIL 6-7UM(INSULT</t>
  </si>
  <si>
    <t>4041611011</t>
  </si>
  <si>
    <t>FREIGHT FOIL 6-7UM(F/PACK</t>
  </si>
  <si>
    <t>4111110011</t>
  </si>
  <si>
    <t>DISCOUNT-TRADE-PAYUNG</t>
  </si>
  <si>
    <t>4111120011</t>
  </si>
  <si>
    <t>DISCOUNT-TRADE 6P</t>
  </si>
  <si>
    <t>4111130011</t>
  </si>
  <si>
    <t>DISCOUNT-TRADE-ALRIB</t>
  </si>
  <si>
    <t>4111610011</t>
  </si>
  <si>
    <t>DISCOUNT-TRADE-FOIL CABLE</t>
  </si>
  <si>
    <t>4111610311</t>
  </si>
  <si>
    <t>4111610611</t>
  </si>
  <si>
    <t>DIS TRADE-PLAIN FOIL 20UM</t>
  </si>
  <si>
    <t>4111611011</t>
  </si>
  <si>
    <t>DIS TRADE-FOIL 6-7UM(FLEX</t>
  </si>
  <si>
    <t>4121010211</t>
  </si>
  <si>
    <t>DISCOUNT-CASH FLATSHEET</t>
  </si>
  <si>
    <t>4121110011</t>
  </si>
  <si>
    <t>DISCOUNT-CASH PAYUNG</t>
  </si>
  <si>
    <t>4121120011</t>
  </si>
  <si>
    <t>DISCOUNT-CASH 6P</t>
  </si>
  <si>
    <t>4121130011</t>
  </si>
  <si>
    <t>DISCOUNT-CASH ALRIB</t>
  </si>
  <si>
    <t>4121140011</t>
  </si>
  <si>
    <t>DISCOUNT-CASH FLASHING</t>
  </si>
  <si>
    <t>4121610011</t>
  </si>
  <si>
    <t>DISCOUNT-CASH FOIL CABLE</t>
  </si>
  <si>
    <t>4121610311</t>
  </si>
  <si>
    <t>4121610611</t>
  </si>
  <si>
    <t>DISC CASH-PLAIN FOIL 20um</t>
  </si>
  <si>
    <t>4121611011</t>
  </si>
  <si>
    <t>CASH DISC FOIL 6-7UM FLEX</t>
  </si>
  <si>
    <t>5011005011</t>
  </si>
  <si>
    <t>TREAD PLATE-BASE METAL</t>
  </si>
  <si>
    <t>5011010211</t>
  </si>
  <si>
    <t>FLAT SHEET-BASE METAL</t>
  </si>
  <si>
    <t>5011010311</t>
  </si>
  <si>
    <t>CLADDING SHEET-BASE METAL</t>
  </si>
  <si>
    <t>5011030011</t>
  </si>
  <si>
    <t>COIL-BASE METAL</t>
  </si>
  <si>
    <t>5011110011</t>
  </si>
  <si>
    <t>PAYUNG-BASE METAL</t>
  </si>
  <si>
    <t>5011120011</t>
  </si>
  <si>
    <t>6P ROOFING-BASE METAL</t>
  </si>
  <si>
    <t>5011130011</t>
  </si>
  <si>
    <t>ALRIB-BASE METAL</t>
  </si>
  <si>
    <t>5011510520</t>
  </si>
  <si>
    <t>FINSTOCK - METAL</t>
  </si>
  <si>
    <t>5011610011</t>
  </si>
  <si>
    <t>CABLE FOIL-BASE METAL</t>
  </si>
  <si>
    <t>5011610211</t>
  </si>
  <si>
    <t>L'QUERED FOIL-BASE METAL</t>
  </si>
  <si>
    <t>5011610311</t>
  </si>
  <si>
    <t>5011610611</t>
  </si>
  <si>
    <t>METAL COST P/FOIL 020 UM</t>
  </si>
  <si>
    <t>5011610811</t>
  </si>
  <si>
    <t>M COST-FOIL-PLAIN 9UM-8UM</t>
  </si>
  <si>
    <t>5011610911</t>
  </si>
  <si>
    <t>MC-PLAIN FOIL 6-7UM(INSUL</t>
  </si>
  <si>
    <t>5011611011</t>
  </si>
  <si>
    <t>MC-PLAIN FOIL 6-7UM(F/PAC</t>
  </si>
  <si>
    <t>5021510520</t>
  </si>
  <si>
    <t>FINSTOCK - METAL PREMIUM</t>
  </si>
  <si>
    <t>5021610611</t>
  </si>
  <si>
    <t>MPREM PLAIN FOIL 020 UM</t>
  </si>
  <si>
    <t>5021610811</t>
  </si>
  <si>
    <t>M PREM-FOIL-PLAIN 9UM-8UM</t>
  </si>
  <si>
    <t>5021610911</t>
  </si>
  <si>
    <t>MP-PLAIN FOIL 6-7UM(INSUL</t>
  </si>
  <si>
    <t>5021611011</t>
  </si>
  <si>
    <t>MP-PLAIN FOIL 6-7UM(F/PAC</t>
  </si>
  <si>
    <t>5031005011</t>
  </si>
  <si>
    <t>TREAD PLATE-MELT LOSS</t>
  </si>
  <si>
    <t>5031010211</t>
  </si>
  <si>
    <t>FLAT SHEET-MELT LOSS</t>
  </si>
  <si>
    <t>5031010311</t>
  </si>
  <si>
    <t>CLADDING SHEET-MELT LOSS</t>
  </si>
  <si>
    <t>5031030011</t>
  </si>
  <si>
    <t>COIL-MELT LOSS</t>
  </si>
  <si>
    <t>5031110011</t>
  </si>
  <si>
    <t>PAYUNG-MELT LOSS</t>
  </si>
  <si>
    <t>5031120011</t>
  </si>
  <si>
    <t>6P ROOFING-MELT LOSS</t>
  </si>
  <si>
    <t>5031130011</t>
  </si>
  <si>
    <t>ALRIB-MELT LOSS</t>
  </si>
  <si>
    <t>5031510520</t>
  </si>
  <si>
    <t>FINSTOCK - MELT LOSS</t>
  </si>
  <si>
    <t>5031610011</t>
  </si>
  <si>
    <t>CABLE FOIL-MELT LOSS</t>
  </si>
  <si>
    <t>5031610211</t>
  </si>
  <si>
    <t>L'QUERED FOIL-MELT LOSS</t>
  </si>
  <si>
    <t>5031610311</t>
  </si>
  <si>
    <t>5041005011</t>
  </si>
  <si>
    <t>TREAD PLATE-SCRAP PREM</t>
  </si>
  <si>
    <t>5041010211</t>
  </si>
  <si>
    <t>FLAT SHEET-SCRAP PREM</t>
  </si>
  <si>
    <t>5041010311</t>
  </si>
  <si>
    <t>CLADDING SHEET-SCRAP PREM</t>
  </si>
  <si>
    <t>5041030011</t>
  </si>
  <si>
    <t>COIL-SCRAP PREM</t>
  </si>
  <si>
    <t>5041110011</t>
  </si>
  <si>
    <t>PAYUNG-SCRAP PREM</t>
  </si>
  <si>
    <t>5041120011</t>
  </si>
  <si>
    <t>6P ROOFING-SCRAP PREM</t>
  </si>
  <si>
    <t>5041130011</t>
  </si>
  <si>
    <t>ALRIB-SCRAP PREM</t>
  </si>
  <si>
    <t>5041510520</t>
  </si>
  <si>
    <t>FINSTOCK-COGS-SCRAP PREM</t>
  </si>
  <si>
    <t>5041610011</t>
  </si>
  <si>
    <t>CABLE FOIL-SCRAP PREM</t>
  </si>
  <si>
    <t>5041610211</t>
  </si>
  <si>
    <t>L'QUERED FOIL-SCRAP PREM</t>
  </si>
  <si>
    <t>5041610311</t>
  </si>
  <si>
    <t>5051005011</t>
  </si>
  <si>
    <t>TREADPLATE-DROSS REC</t>
  </si>
  <si>
    <t>5051010211</t>
  </si>
  <si>
    <t>FLAT SHEET- DROSS REC</t>
  </si>
  <si>
    <t>5051010311</t>
  </si>
  <si>
    <t>CLADDING - DROSS REC</t>
  </si>
  <si>
    <t>5051030011</t>
  </si>
  <si>
    <t>COIL - DROSS REC</t>
  </si>
  <si>
    <t>5051110011</t>
  </si>
  <si>
    <t>PAYUNG - DROSS REC</t>
  </si>
  <si>
    <t>5051120011</t>
  </si>
  <si>
    <t>6P ROOFING - DROSS REC</t>
  </si>
  <si>
    <t>5051130011</t>
  </si>
  <si>
    <t>ALRIB - DROSS REC</t>
  </si>
  <si>
    <t>5051510520</t>
  </si>
  <si>
    <t>FINSTOCK - DROSS REC</t>
  </si>
  <si>
    <t>5051610011</t>
  </si>
  <si>
    <t>CABLE - DROSS REC</t>
  </si>
  <si>
    <t>5051610211</t>
  </si>
  <si>
    <t>LACQUERED - DROSS REC</t>
  </si>
  <si>
    <t>5051610311</t>
  </si>
  <si>
    <t>5111005011</t>
  </si>
  <si>
    <t>TREAD PLATE-DIRECT COST</t>
  </si>
  <si>
    <t>5111010211</t>
  </si>
  <si>
    <t>FLAT SHEET-DIRECT COST</t>
  </si>
  <si>
    <t>5111010311</t>
  </si>
  <si>
    <t>CLADDING SHEET-DIRECT COS</t>
  </si>
  <si>
    <t>5111030011</t>
  </si>
  <si>
    <t>COIL-DIRECT COST</t>
  </si>
  <si>
    <t>5111110011</t>
  </si>
  <si>
    <t>PAYUNG-DIRECT COST</t>
  </si>
  <si>
    <t>5111120011</t>
  </si>
  <si>
    <t>6P ROOFING-DIRECT COST</t>
  </si>
  <si>
    <t>5111130011</t>
  </si>
  <si>
    <t>ALRIB-DIRECT COST</t>
  </si>
  <si>
    <t>5111510520</t>
  </si>
  <si>
    <t>FINSTOCK - DIRECT COSTS</t>
  </si>
  <si>
    <t>5111610011</t>
  </si>
  <si>
    <t>CABLE FOIL-DIRECT COST</t>
  </si>
  <si>
    <t>5111610211</t>
  </si>
  <si>
    <t>L'QUERED FOIL-DIRECT COST</t>
  </si>
  <si>
    <t>5111610311</t>
  </si>
  <si>
    <t>5111610611</t>
  </si>
  <si>
    <t>DCOST PLAIN FOIL 020 UM</t>
  </si>
  <si>
    <t>5111610811</t>
  </si>
  <si>
    <t>D COST-FOIL-PLAIN 9UM-8UM</t>
  </si>
  <si>
    <t>5111610911</t>
  </si>
  <si>
    <t>DC-PLAIN FOIL 6-7UM(INSUL</t>
  </si>
  <si>
    <t>5111611011</t>
  </si>
  <si>
    <t>DC-PLN FOIL 6-7UM(F/PACK)</t>
  </si>
  <si>
    <t>5121005011</t>
  </si>
  <si>
    <t>TREAD PLATE-PERIOD COST</t>
  </si>
  <si>
    <t>5121010211</t>
  </si>
  <si>
    <t>FLAT SHEET-PERIOD COST</t>
  </si>
  <si>
    <t>5121010311</t>
  </si>
  <si>
    <t>CLADDING SHEET-PERIOD COS</t>
  </si>
  <si>
    <t>5121030011</t>
  </si>
  <si>
    <t>COIL-PERIOD COST</t>
  </si>
  <si>
    <t>5121110011</t>
  </si>
  <si>
    <t>PAYUNG-PERIOD COST</t>
  </si>
  <si>
    <t>5121120011</t>
  </si>
  <si>
    <t>6P ROOFING-PERIOD COST</t>
  </si>
  <si>
    <t>5121130011</t>
  </si>
  <si>
    <t>ALRIB-PERIOD COST</t>
  </si>
  <si>
    <t>5121510520</t>
  </si>
  <si>
    <t>FINSTOCK - PERIOD COSTS</t>
  </si>
  <si>
    <t>5121610011</t>
  </si>
  <si>
    <t>CABLE FOIL-PERIOD COST</t>
  </si>
  <si>
    <t>5121610211</t>
  </si>
  <si>
    <t>L'QUERED FOIL-PERIOD COST</t>
  </si>
  <si>
    <t>5121610311</t>
  </si>
  <si>
    <t>5121610611</t>
  </si>
  <si>
    <t>PCOST PLAIN FOIL 020 UM</t>
  </si>
  <si>
    <t>5121610811</t>
  </si>
  <si>
    <t>P COST-FOIL-PLAIN-9UM-8UM</t>
  </si>
  <si>
    <t>5121610911</t>
  </si>
  <si>
    <t>PC-PLAIN FOIL 6-7UM(INSUL</t>
  </si>
  <si>
    <t>5121611011</t>
  </si>
  <si>
    <t>PC-PLN FOIL 6-7UM(F/PACK)</t>
  </si>
  <si>
    <t>1940</t>
  </si>
  <si>
    <t>1945</t>
  </si>
  <si>
    <t>1950</t>
  </si>
  <si>
    <t>4001510311</t>
  </si>
  <si>
    <t>G/SLS-FIN-ANSC DRAWLESS</t>
  </si>
  <si>
    <t>4011510311</t>
  </si>
  <si>
    <t>RETURNS-FIN-ANSC DRAWLESS</t>
  </si>
  <si>
    <t>4011610811</t>
  </si>
  <si>
    <t>RETURN-FOIL-PLAIN 9UM-8UM</t>
  </si>
  <si>
    <t>5011510311</t>
  </si>
  <si>
    <t>ANSC D'LESS FIN-BASE META</t>
  </si>
  <si>
    <t>5021510311</t>
  </si>
  <si>
    <t>ANSC D'LESS FIN-METAL PRE</t>
  </si>
  <si>
    <t>5031510311</t>
  </si>
  <si>
    <t>ANSC D'LESS FIN-MELT LOSS</t>
  </si>
  <si>
    <t>5041510311</t>
  </si>
  <si>
    <t>ANSC D'LESS FIN-SCRAP PRE</t>
  </si>
  <si>
    <t>5051510311</t>
  </si>
  <si>
    <t>FINSTOCK-ANSC-DROSS REC</t>
  </si>
  <si>
    <t>5111510311</t>
  </si>
  <si>
    <t>ANSC D'LESS FIN-DIR COST</t>
  </si>
  <si>
    <t>5121510311</t>
  </si>
  <si>
    <t>ANSC D'LESS FIN-PER COST</t>
  </si>
  <si>
    <t>1960</t>
  </si>
  <si>
    <t>5304000000</t>
  </si>
  <si>
    <t>COMMISSION-SALES</t>
  </si>
  <si>
    <t>1970</t>
  </si>
  <si>
    <t>5302402300</t>
  </si>
  <si>
    <t>DOCUMENTATION FEES-SALES</t>
  </si>
  <si>
    <t>5302610000</t>
  </si>
  <si>
    <t>INSURANCE - MECIB</t>
  </si>
  <si>
    <t>5303402600</t>
  </si>
  <si>
    <t>SAMPLES</t>
  </si>
  <si>
    <t>6110</t>
  </si>
  <si>
    <t>OP SUPP - MISC</t>
  </si>
  <si>
    <t>8990000000</t>
  </si>
  <si>
    <t>TOTAL EXPENSES</t>
  </si>
  <si>
    <t>6120</t>
  </si>
  <si>
    <t>8101401000</t>
  </si>
  <si>
    <t>PACKING - CARDBOARD</t>
  </si>
  <si>
    <t>8101401100</t>
  </si>
  <si>
    <t>PACKING - PLASTIC SHEETS</t>
  </si>
  <si>
    <t>PACKING - SPOOLS</t>
  </si>
  <si>
    <t>8101401500</t>
  </si>
  <si>
    <t>PCKING-STRAPPING MATERIAL</t>
  </si>
  <si>
    <t>8101402000</t>
  </si>
  <si>
    <t>PACKING - OTHERS</t>
  </si>
  <si>
    <t>6310</t>
  </si>
  <si>
    <t>8151301500</t>
  </si>
  <si>
    <t>OP SUPP-SAFETY EQUIPMENTS</t>
  </si>
  <si>
    <t>8151301600</t>
  </si>
  <si>
    <t>OP SUPP - HOYSE KEEPING</t>
  </si>
  <si>
    <t>8151901000</t>
  </si>
  <si>
    <t>R &amp; M - COATER</t>
  </si>
  <si>
    <t>8151901100</t>
  </si>
  <si>
    <t>R &amp; M - SLITTER</t>
  </si>
  <si>
    <t>R &amp; M - SHAFTS</t>
  </si>
  <si>
    <t>8151901600</t>
  </si>
  <si>
    <t>R&amp;M-FORKLIFT(INCL SUPPLIE</t>
  </si>
  <si>
    <t>1001301000</t>
  </si>
  <si>
    <t>1001501000</t>
  </si>
  <si>
    <t>1101000000</t>
  </si>
  <si>
    <t>1301000000</t>
  </si>
  <si>
    <t>1301400000</t>
  </si>
  <si>
    <t>1301401000</t>
  </si>
  <si>
    <t>1301401100</t>
  </si>
  <si>
    <t>1301401200</t>
  </si>
  <si>
    <t>1301600000</t>
  </si>
  <si>
    <t>1301601000</t>
  </si>
  <si>
    <t>1301601500</t>
  </si>
  <si>
    <t>1301601600</t>
  </si>
  <si>
    <t>DEPOSIT RECEIVED-CUSTOMER</t>
  </si>
  <si>
    <t>1311200000</t>
  </si>
  <si>
    <t>1311301000</t>
  </si>
  <si>
    <t>1311301100</t>
  </si>
  <si>
    <t>1311301300</t>
  </si>
  <si>
    <t>1411001001</t>
  </si>
  <si>
    <t>1411001100</t>
  </si>
  <si>
    <t>1411101000</t>
  </si>
  <si>
    <t>1421001010</t>
  </si>
  <si>
    <t>1421100000</t>
  </si>
  <si>
    <t>1421201000</t>
  </si>
  <si>
    <t>1421202000</t>
  </si>
  <si>
    <t>1421202400</t>
  </si>
  <si>
    <t>1421202900</t>
  </si>
  <si>
    <t>1421301000</t>
  </si>
  <si>
    <t>1441000000</t>
  </si>
  <si>
    <t>1441200000</t>
  </si>
  <si>
    <t>1441600000</t>
  </si>
  <si>
    <t>1441700000</t>
  </si>
  <si>
    <t>1460000000</t>
  </si>
  <si>
    <t>OTH REC'ABLE-FWD CONTRACT</t>
  </si>
  <si>
    <t>2001000000</t>
  </si>
  <si>
    <t>NOVELIS GROUP COMPANIES</t>
  </si>
  <si>
    <t>2001000001</t>
  </si>
  <si>
    <t>2001000002</t>
  </si>
  <si>
    <t>2001000003</t>
  </si>
  <si>
    <t>2001900000</t>
  </si>
  <si>
    <t>2002001000</t>
  </si>
  <si>
    <t>2002001010</t>
  </si>
  <si>
    <t>2002001011</t>
  </si>
  <si>
    <t>2002001100</t>
  </si>
  <si>
    <t>2002001110</t>
  </si>
  <si>
    <t>2002001111</t>
  </si>
  <si>
    <t>2002001200</t>
  </si>
  <si>
    <t>2002001210</t>
  </si>
  <si>
    <t>2002001300</t>
  </si>
  <si>
    <t>2002001310</t>
  </si>
  <si>
    <t>2002001311</t>
  </si>
  <si>
    <t>2002002000</t>
  </si>
  <si>
    <t>2002003000</t>
  </si>
  <si>
    <t>2002003100</t>
  </si>
  <si>
    <t>2002101500</t>
  </si>
  <si>
    <t>2002101600</t>
  </si>
  <si>
    <t>2002101601</t>
  </si>
  <si>
    <t>2002102000</t>
  </si>
  <si>
    <t>2011101200</t>
  </si>
  <si>
    <t>2011201200</t>
  </si>
  <si>
    <t>2011201210</t>
  </si>
  <si>
    <t>2011401200</t>
  </si>
  <si>
    <t>2011701200</t>
  </si>
  <si>
    <t>2011801200</t>
  </si>
  <si>
    <t>2012000000</t>
  </si>
  <si>
    <t>2031201400</t>
  </si>
  <si>
    <t>2031202000</t>
  </si>
  <si>
    <t>2031202300</t>
  </si>
  <si>
    <t>2031900000</t>
  </si>
  <si>
    <t>2042000000</t>
  </si>
  <si>
    <t>2051000000</t>
  </si>
  <si>
    <t>2051100000</t>
  </si>
  <si>
    <t>2051200000</t>
  </si>
  <si>
    <t>2131101000</t>
  </si>
  <si>
    <t>2131201000</t>
  </si>
  <si>
    <t>3000000000</t>
  </si>
  <si>
    <t>3020000000</t>
  </si>
  <si>
    <t>3030000000</t>
  </si>
  <si>
    <t>3040000000</t>
  </si>
  <si>
    <t>3050000000</t>
  </si>
  <si>
    <t>3051000000</t>
  </si>
  <si>
    <t>3052000000</t>
  </si>
  <si>
    <t>5401001000</t>
  </si>
  <si>
    <t>FNCL INC-INT REC'D CUSTMR</t>
  </si>
  <si>
    <t>5401001100</t>
  </si>
  <si>
    <t>FNCL INC-INT REC'D BANK</t>
  </si>
  <si>
    <t>5401001110</t>
  </si>
  <si>
    <t>5401001200</t>
  </si>
  <si>
    <t>FNCL INC-INT FR STF LOAN</t>
  </si>
  <si>
    <t>5401001311</t>
  </si>
  <si>
    <t>FNCL INC-E/P DC-TRD-UNRLZ</t>
  </si>
  <si>
    <t>5401101000</t>
  </si>
  <si>
    <t>INT EXT BOR-COMMITMNT FEE</t>
  </si>
  <si>
    <t>5401201020</t>
  </si>
  <si>
    <t>EXCH-TRANSLATN-UNRLZ GAIN</t>
  </si>
  <si>
    <t>5401201021</t>
  </si>
  <si>
    <t>EXCH-TRANSACTN-UNRLZ LOSS</t>
  </si>
  <si>
    <t>5401201110</t>
  </si>
  <si>
    <t>EXCH-TRANSACTION-RLZ GAIN</t>
  </si>
  <si>
    <t>5401201111</t>
  </si>
  <si>
    <t>EXCH-TRANSACTION-RLZ LOSS</t>
  </si>
  <si>
    <t>5401201300</t>
  </si>
  <si>
    <t>Forward Contract</t>
  </si>
  <si>
    <t>6001000000</t>
  </si>
  <si>
    <t>TAXATION-INCOME TAX</t>
  </si>
  <si>
    <t>6000</t>
  </si>
  <si>
    <t>1010000000</t>
  </si>
  <si>
    <t>1040000000</t>
  </si>
  <si>
    <t>1301100000</t>
  </si>
  <si>
    <t>1311100000</t>
  </si>
  <si>
    <t>1401000000</t>
  </si>
  <si>
    <t>1402000000</t>
  </si>
  <si>
    <t>1403100000</t>
  </si>
  <si>
    <t>1404000000</t>
  </si>
  <si>
    <t>1405000000</t>
  </si>
  <si>
    <t>1405010000</t>
  </si>
  <si>
    <t>1409000000</t>
  </si>
  <si>
    <t>1409100000</t>
  </si>
  <si>
    <t>1409200000</t>
  </si>
  <si>
    <t>PROV-STR LOSS/OBSOLESCENC</t>
  </si>
  <si>
    <t>1410000000</t>
  </si>
  <si>
    <t>1411000000</t>
  </si>
  <si>
    <t>1421000000</t>
  </si>
  <si>
    <t>TRADE DEBTORS -FTZ/LMW</t>
  </si>
  <si>
    <t>1422200000</t>
  </si>
  <si>
    <t>1424000000</t>
  </si>
  <si>
    <t>OTHER RECEIVABLES- OTHER</t>
  </si>
  <si>
    <t>1441100000</t>
  </si>
  <si>
    <t>2002200000</t>
  </si>
  <si>
    <t>2002201000</t>
  </si>
  <si>
    <t>2003001100</t>
  </si>
  <si>
    <t>2011000000</t>
  </si>
  <si>
    <t>2011020000</t>
  </si>
  <si>
    <t>2011100000</t>
  </si>
  <si>
    <t>2031000000</t>
  </si>
  <si>
    <t>2031100000</t>
  </si>
  <si>
    <t>2031200000</t>
  </si>
  <si>
    <t>2031210000</t>
  </si>
  <si>
    <t>2031400000</t>
  </si>
  <si>
    <t>2031500000</t>
  </si>
  <si>
    <t>2031610000</t>
  </si>
  <si>
    <t>2031620000</t>
  </si>
  <si>
    <t>2031630000</t>
  </si>
  <si>
    <t>2120000000</t>
  </si>
  <si>
    <t>4001000000</t>
  </si>
  <si>
    <t>SALES - DOMESTIC</t>
  </si>
  <si>
    <t>4002000000</t>
  </si>
  <si>
    <t>SALES - EXPORT</t>
  </si>
  <si>
    <t>4003000000</t>
  </si>
  <si>
    <t>SALES - FTZ/LMW</t>
  </si>
  <si>
    <t>4003010000</t>
  </si>
  <si>
    <t>SALES - FTZ/LMW - CHGS</t>
  </si>
  <si>
    <t>4031000000</t>
  </si>
  <si>
    <t>INSURANCE - DOMESTIC</t>
  </si>
  <si>
    <t>4032000000</t>
  </si>
  <si>
    <t>INSURANCE - EXPORT</t>
  </si>
  <si>
    <t>4041000000</t>
  </si>
  <si>
    <t>FREIGHT -DOM</t>
  </si>
  <si>
    <t>4042000000</t>
  </si>
  <si>
    <t>FREIGHT -EXPORT</t>
  </si>
  <si>
    <t>4043000000</t>
  </si>
  <si>
    <t>FREIGHT - FTZ/LMW</t>
  </si>
  <si>
    <t>5101000000</t>
  </si>
  <si>
    <t>COST OF SALE - METAL COST</t>
  </si>
  <si>
    <t>5111000000</t>
  </si>
  <si>
    <t>COST OF SALE -DIRECT COST</t>
  </si>
  <si>
    <t>5121000000</t>
  </si>
  <si>
    <t>COST OF SALE- PERIOD COST</t>
  </si>
  <si>
    <t>5201000000</t>
  </si>
  <si>
    <t>OME-NRV</t>
  </si>
  <si>
    <t>OME-PPV</t>
  </si>
  <si>
    <t>5201300000</t>
  </si>
  <si>
    <t>OME-LOSS CUST COMPLAINTS</t>
  </si>
  <si>
    <t>OME-FINISHED GOODS SCRAP</t>
  </si>
  <si>
    <t>OME - OTHER</t>
  </si>
  <si>
    <t>OME-RENTAL</t>
  </si>
  <si>
    <t>5400000000</t>
  </si>
  <si>
    <t>EXCHANGE</t>
  </si>
  <si>
    <t>INTERST EXP-COMMITMNT FEE</t>
  </si>
  <si>
    <t>5401101200</t>
  </si>
  <si>
    <t>INTEREST INCOME</t>
  </si>
  <si>
    <t>5401400000</t>
  </si>
  <si>
    <t>DISPOSE-COATED SCRP-ALCOM</t>
  </si>
  <si>
    <t>5501010000</t>
  </si>
  <si>
    <t>COST-COATED SCRAP-ALCOM</t>
  </si>
  <si>
    <t>5602100000</t>
  </si>
  <si>
    <t>PROCEEDS-SALES OF F.ASSET</t>
  </si>
  <si>
    <t>INCOME TAX</t>
  </si>
  <si>
    <t>WAGE - BASIC</t>
  </si>
  <si>
    <t>WAGES - O/T PREMIUM</t>
  </si>
  <si>
    <t>WAGE - SHIFT ALLOWANCE</t>
  </si>
  <si>
    <t>WAGES -OTHER ALLOWANCE</t>
  </si>
  <si>
    <t>WAGES - EMPLOYER'S EPF</t>
  </si>
  <si>
    <t>WAGES - EMPLOYER'S SOCSO</t>
  </si>
  <si>
    <t>WAGES - BONUS</t>
  </si>
  <si>
    <t>WAGES - HRD LEVY</t>
  </si>
  <si>
    <t>UTILITIES - ELECTRICITY</t>
  </si>
  <si>
    <t>9101201100</t>
  </si>
  <si>
    <t>UTILITIES - GAS</t>
  </si>
  <si>
    <t>9101201300</t>
  </si>
  <si>
    <t>UTILITIES - WATER</t>
  </si>
  <si>
    <t>OP SUP-SOLVENT 4 DILUTION</t>
  </si>
  <si>
    <t>9101301100</t>
  </si>
  <si>
    <t>T/COAT &amp; U/COAT FOR NA9**</t>
  </si>
  <si>
    <t>U/COAT FR NB570B</t>
  </si>
  <si>
    <t>9101302000</t>
  </si>
  <si>
    <t>OP SUPP - CHEMICALS</t>
  </si>
  <si>
    <t>9101303000</t>
  </si>
  <si>
    <t>T/COAT FOR NA5**</t>
  </si>
  <si>
    <t>WASTE DISPOSAL EXPENSES</t>
  </si>
  <si>
    <t>9101307500</t>
  </si>
  <si>
    <t>U/COAT-NB510C/W,NB520&amp;530</t>
  </si>
  <si>
    <t>9101308000</t>
  </si>
  <si>
    <t>U/COAT FOR NA510 &amp; NA310</t>
  </si>
  <si>
    <t>9101309000</t>
  </si>
  <si>
    <t>U/COAT FOR NA559C</t>
  </si>
  <si>
    <t>9101310000</t>
  </si>
  <si>
    <t>U/COAT FOR NB510G</t>
  </si>
  <si>
    <t>9101315000</t>
  </si>
  <si>
    <t>T/COAT FOR NB340</t>
  </si>
  <si>
    <t>9101330000</t>
  </si>
  <si>
    <t>T/COAT FOR NB610GD</t>
  </si>
  <si>
    <t>9101335000</t>
  </si>
  <si>
    <t>U/COAT FOR UA310(NB510B)</t>
  </si>
  <si>
    <t>9101340000</t>
  </si>
  <si>
    <t>T/COAT-NB510B/510C/510W</t>
  </si>
  <si>
    <t>9101345000</t>
  </si>
  <si>
    <t>PAINT - SOLUTION (NB520S)</t>
  </si>
  <si>
    <t>9101350000</t>
  </si>
  <si>
    <t>T/COAT FOR NB520</t>
  </si>
  <si>
    <t>9101360000</t>
  </si>
  <si>
    <t>T/COAT FOR NB530</t>
  </si>
  <si>
    <t>9101380000</t>
  </si>
  <si>
    <t>OVERCOAT FOR NB580BS</t>
  </si>
  <si>
    <t>9101385000</t>
  </si>
  <si>
    <t>OVERCOAT FOR NB510HB</t>
  </si>
  <si>
    <t>9101387500</t>
  </si>
  <si>
    <t>U/COAT FOR NB570GD</t>
  </si>
  <si>
    <t>PACKING - WOOD PALLET&amp;BOX</t>
  </si>
  <si>
    <t>PACKING - STRAPPING MATER</t>
  </si>
  <si>
    <t>9101402000</t>
  </si>
  <si>
    <t>6210</t>
  </si>
  <si>
    <t>SHIFT ALLOWANCE &amp; MEAL AL</t>
  </si>
  <si>
    <t>9151001300</t>
  </si>
  <si>
    <t>Sal - Other Allowances</t>
  </si>
  <si>
    <t>SALARIES - EMPLOYER SOCSO</t>
  </si>
  <si>
    <t>SALARIES - HRD LEVY</t>
  </si>
  <si>
    <t>EXPATRIATE EXPENSES</t>
  </si>
  <si>
    <t>SHIFT ALLOWANCE</t>
  </si>
  <si>
    <t>OP SUPP - SAFETY EQUIP.</t>
  </si>
  <si>
    <t>OP SUPP - HOUSE KEEPING</t>
  </si>
  <si>
    <t>OP SUPP-RUBBER/GRAVURE RO</t>
  </si>
  <si>
    <t>9151302800</t>
  </si>
  <si>
    <t>OP SUPP - OTHERS</t>
  </si>
  <si>
    <t>TRAVELLING - LOCAL</t>
  </si>
  <si>
    <t>TRAVELLING - OVERSEAS</t>
  </si>
  <si>
    <t>PLANT-PRINTING&amp;STATIONERY</t>
  </si>
  <si>
    <t>PLNT-LEASING EQUIP RENTAL</t>
  </si>
  <si>
    <t>9151900000</t>
  </si>
  <si>
    <t>R &amp; MAINTENANCE-COATER 1</t>
  </si>
  <si>
    <t>9151901000</t>
  </si>
  <si>
    <t>R &amp; MAINTENANCE-COATER 2</t>
  </si>
  <si>
    <t>9151901100</t>
  </si>
  <si>
    <t>9151901200</t>
  </si>
  <si>
    <t>R &amp; M - OTH PLANT &amp; EQUP</t>
  </si>
  <si>
    <t>9151901500</t>
  </si>
  <si>
    <t>9151901600</t>
  </si>
  <si>
    <t>R&amp;M-FORKLIFT(+supplies)</t>
  </si>
  <si>
    <t>9151901800</t>
  </si>
  <si>
    <t>R &amp; M  - CRANE</t>
  </si>
  <si>
    <t>9151901900</t>
  </si>
  <si>
    <t>R &amp; M - CRANE SAFETY MODI</t>
  </si>
  <si>
    <t>9151905000</t>
  </si>
  <si>
    <t>R &amp; M - BUILDING</t>
  </si>
  <si>
    <t>9151910000</t>
  </si>
  <si>
    <t>9152402500</t>
  </si>
  <si>
    <t>FORKLIFT RENTAL</t>
  </si>
  <si>
    <t>9152601000</t>
  </si>
  <si>
    <t>EDUCATION &amp; TRAINING - L</t>
  </si>
  <si>
    <t>9153000000</t>
  </si>
  <si>
    <t>DEPRECIATION</t>
  </si>
  <si>
    <t>9153100000</t>
  </si>
  <si>
    <t>RECRUITMENT EXPENSES</t>
  </si>
  <si>
    <t>GIFTS &amp; PROMOTION</t>
  </si>
  <si>
    <t>EOHS EXPENSES</t>
  </si>
  <si>
    <t>WORKER'S HOSTEL EXPENSES</t>
  </si>
  <si>
    <t>6910</t>
  </si>
  <si>
    <t>5301001300</t>
  </si>
  <si>
    <t>SALARIES - EMPL SOCSO</t>
  </si>
  <si>
    <t>5301501200</t>
  </si>
  <si>
    <t>BHW6713 - PETROL</t>
  </si>
  <si>
    <t>5301501300</t>
  </si>
  <si>
    <t>BHW 6713 - R&amp;M/INS/RD TAX</t>
  </si>
  <si>
    <t>5301700000</t>
  </si>
  <si>
    <t>TELEHPHONE &amp; FAX</t>
  </si>
  <si>
    <t>OFFICE EXP - POSTAGE</t>
  </si>
  <si>
    <t>OFFICE EXP -P&amp;STATIONERY</t>
  </si>
  <si>
    <t>OFFICE EXP -COMPUTER EXP</t>
  </si>
  <si>
    <t>5301801400</t>
  </si>
  <si>
    <t>OFFICE EXP-DRINKS &amp; LUNCH</t>
  </si>
  <si>
    <t>OFFICE EXP - COURIER SERV</t>
  </si>
  <si>
    <t>R &amp; M COMPUTER</t>
  </si>
  <si>
    <t>5302401300</t>
  </si>
  <si>
    <t>5302500100</t>
  </si>
  <si>
    <t>AUDITS FEES</t>
  </si>
  <si>
    <t>SECRETARIAL FEES</t>
  </si>
  <si>
    <t>5302501500</t>
  </si>
  <si>
    <t>LICENCE &amp; SUBSCRIPTION</t>
  </si>
  <si>
    <t>5302501600</t>
  </si>
  <si>
    <t>TAX SERVICES</t>
  </si>
  <si>
    <t>HRDC REFUND</t>
  </si>
  <si>
    <t>5303000000</t>
  </si>
  <si>
    <t>5303202000</t>
  </si>
  <si>
    <t>FAMILY DAY/EMP WELFARE</t>
  </si>
  <si>
    <t>5303403000</t>
  </si>
  <si>
    <t>5303500000</t>
  </si>
  <si>
    <t>T.T. CHARGES</t>
  </si>
  <si>
    <t>5303501010</t>
  </si>
  <si>
    <t>L/C OPENING COMMISSION</t>
  </si>
  <si>
    <t>L/C BILL COMMISSION</t>
  </si>
  <si>
    <t>L/C ADVISING COMMISSION</t>
  </si>
  <si>
    <t>LOCAL DRAFT COMMISSION</t>
  </si>
  <si>
    <t>5303501210</t>
  </si>
  <si>
    <t>CHARGES ON CHEQUES</t>
  </si>
  <si>
    <t>5303501310</t>
  </si>
  <si>
    <t>BANK REPORT</t>
  </si>
  <si>
    <t>ISO 14001</t>
  </si>
  <si>
    <t>5303900000</t>
  </si>
  <si>
    <t>SALES COMMISSION</t>
  </si>
  <si>
    <t>5308000000</t>
  </si>
  <si>
    <t>RETIREMENT BENEFITS</t>
  </si>
  <si>
    <t>5309000000</t>
  </si>
  <si>
    <t>CORPORATE ALLOCATION-SAE</t>
  </si>
  <si>
    <t>Item</t>
  </si>
  <si>
    <t>Descp in GL</t>
  </si>
  <si>
    <t>GL</t>
  </si>
  <si>
    <t>Descp in Performance review</t>
  </si>
  <si>
    <t>Accounts</t>
  </si>
  <si>
    <t>Result</t>
  </si>
  <si>
    <t>P&amp;L</t>
  </si>
  <si>
    <t>Sales</t>
  </si>
  <si>
    <t>400</t>
  </si>
  <si>
    <t>3rd Party Revenue</t>
  </si>
  <si>
    <t>Return</t>
  </si>
  <si>
    <t>401</t>
  </si>
  <si>
    <t>003</t>
  </si>
  <si>
    <t>Disc</t>
  </si>
  <si>
    <t>402</t>
  </si>
  <si>
    <t>411</t>
  </si>
  <si>
    <t>5401101100</t>
  </si>
  <si>
    <t>Sp Disc</t>
  </si>
  <si>
    <t>410</t>
  </si>
  <si>
    <t>206</t>
  </si>
  <si>
    <t>Rebate</t>
  </si>
  <si>
    <t>403</t>
  </si>
  <si>
    <t>001</t>
  </si>
  <si>
    <t>Sales tax</t>
  </si>
  <si>
    <t>406</t>
  </si>
  <si>
    <t>5401101210</t>
  </si>
  <si>
    <t>407</t>
  </si>
  <si>
    <t>Year End rebate</t>
  </si>
  <si>
    <t>Cash Disc</t>
  </si>
  <si>
    <t>412</t>
  </si>
  <si>
    <t>002</t>
  </si>
  <si>
    <t>413</t>
  </si>
  <si>
    <t>Interco Revenue</t>
  </si>
  <si>
    <t>Metal</t>
  </si>
  <si>
    <t>501</t>
  </si>
  <si>
    <t>3rd Party Contracted Metal</t>
  </si>
  <si>
    <t>Metal Premium</t>
  </si>
  <si>
    <t>502</t>
  </si>
  <si>
    <t>5601300000</t>
  </si>
  <si>
    <t>510</t>
  </si>
  <si>
    <t>Freight &amp; Ins</t>
  </si>
  <si>
    <t>404</t>
  </si>
  <si>
    <t>405</t>
  </si>
  <si>
    <t>Melt Loss</t>
  </si>
  <si>
    <t>503</t>
  </si>
  <si>
    <t>3rd party Other income/(expense)</t>
  </si>
  <si>
    <t>Scrap Writedown</t>
  </si>
  <si>
    <t>504</t>
  </si>
  <si>
    <t>Reroll Premium</t>
  </si>
  <si>
    <t>Dross Reclaim</t>
  </si>
  <si>
    <t>505</t>
  </si>
  <si>
    <t>Dross Savings</t>
  </si>
  <si>
    <t>Dross reclaim</t>
  </si>
  <si>
    <t>Direct cost</t>
  </si>
  <si>
    <t>511</t>
  </si>
  <si>
    <t>Period cost</t>
  </si>
  <si>
    <t>512</t>
  </si>
  <si>
    <t>Other manufacturing cost</t>
  </si>
  <si>
    <t>520</t>
  </si>
  <si>
    <t>3rd Party Other manufacturing cost</t>
  </si>
  <si>
    <t>521</t>
  </si>
  <si>
    <t>Interco OME</t>
  </si>
  <si>
    <t>Selling &amp; admin expenses</t>
  </si>
  <si>
    <t>530</t>
  </si>
  <si>
    <t>Other income</t>
  </si>
  <si>
    <t>550</t>
  </si>
  <si>
    <t>Interco income</t>
  </si>
  <si>
    <t>551</t>
  </si>
  <si>
    <t>Interco income/Expenses</t>
  </si>
  <si>
    <t>560</t>
  </si>
  <si>
    <t>Reversal of/(Provision for) bad debt</t>
  </si>
  <si>
    <t>Exchange Gain</t>
  </si>
  <si>
    <t>540</t>
  </si>
  <si>
    <t>Exchange gains/(losses)</t>
  </si>
  <si>
    <t>570</t>
  </si>
  <si>
    <t>Rationalisation expenses</t>
  </si>
  <si>
    <t>Countermeasures program</t>
  </si>
  <si>
    <t>Dividend income (from investments)</t>
  </si>
  <si>
    <t>Gain from disposal of PJ land</t>
  </si>
  <si>
    <t>542</t>
  </si>
  <si>
    <t>Interest income</t>
  </si>
  <si>
    <t>543</t>
  </si>
  <si>
    <t>541</t>
  </si>
  <si>
    <t>600</t>
  </si>
  <si>
    <t xml:space="preserve"> Income taxes</t>
  </si>
  <si>
    <t xml:space="preserve"> Deferred taxes</t>
  </si>
  <si>
    <t>900</t>
  </si>
  <si>
    <t>901</t>
  </si>
  <si>
    <t>915</t>
  </si>
  <si>
    <t>910</t>
  </si>
  <si>
    <t>810</t>
  </si>
  <si>
    <t>899</t>
  </si>
  <si>
    <t>815</t>
  </si>
  <si>
    <t>100</t>
  </si>
  <si>
    <t>Net fixed assets</t>
  </si>
  <si>
    <t>101</t>
  </si>
  <si>
    <t>102</t>
  </si>
  <si>
    <t>103</t>
  </si>
  <si>
    <t>104</t>
  </si>
  <si>
    <t>105</t>
  </si>
  <si>
    <t>110</t>
  </si>
  <si>
    <t>Investments</t>
  </si>
  <si>
    <t>130</t>
  </si>
  <si>
    <t>Other assets</t>
  </si>
  <si>
    <t>131</t>
  </si>
  <si>
    <t>140</t>
  </si>
  <si>
    <t>141</t>
  </si>
  <si>
    <t>Cash and Time deposit</t>
  </si>
  <si>
    <t>142</t>
  </si>
  <si>
    <t>Accounts receivable - third parties</t>
  </si>
  <si>
    <t>Accounts receivable - ANSC</t>
  </si>
  <si>
    <t>143</t>
  </si>
  <si>
    <t>144</t>
  </si>
  <si>
    <t>145</t>
  </si>
  <si>
    <t>146</t>
  </si>
  <si>
    <t>Accounts payable</t>
  </si>
  <si>
    <t>200</t>
  </si>
  <si>
    <t>201</t>
  </si>
  <si>
    <t>203</t>
  </si>
  <si>
    <t>204</t>
  </si>
  <si>
    <t>205</t>
  </si>
  <si>
    <t>Taxes payable</t>
  </si>
  <si>
    <t>212</t>
  </si>
  <si>
    <t>213</t>
  </si>
  <si>
    <t>300</t>
  </si>
  <si>
    <t>Ordinary shares</t>
  </si>
  <si>
    <t>302</t>
  </si>
  <si>
    <t>Retained earnings</t>
  </si>
  <si>
    <t>303</t>
  </si>
  <si>
    <t>Share premium - ordinary</t>
  </si>
  <si>
    <t>304</t>
  </si>
  <si>
    <t>305</t>
  </si>
  <si>
    <t>3rd Party Capital reserves</t>
  </si>
  <si>
    <t>Treasury shares</t>
  </si>
  <si>
    <t>207</t>
  </si>
  <si>
    <t>Accounts payable - ANSC</t>
  </si>
  <si>
    <t>Accounts payable - ALCOM</t>
  </si>
  <si>
    <t>004</t>
  </si>
  <si>
    <t>Accounts receivable - ALCOM</t>
  </si>
  <si>
    <r>
      <t>Net Sales per Preview</t>
    </r>
    <r>
      <rPr>
        <b/>
        <sz val="10"/>
        <color indexed="10"/>
        <rFont val="Arial"/>
        <family val="2"/>
      </rPr>
      <t>-3rd party</t>
    </r>
  </si>
  <si>
    <r>
      <t>Net Sales per Preview</t>
    </r>
    <r>
      <rPr>
        <b/>
        <sz val="10"/>
        <color indexed="10"/>
        <rFont val="Arial"/>
        <family val="2"/>
      </rPr>
      <t>-Interco</t>
    </r>
  </si>
  <si>
    <t>549</t>
  </si>
  <si>
    <t>548</t>
  </si>
  <si>
    <t>547</t>
  </si>
  <si>
    <t>559</t>
  </si>
  <si>
    <t>Apr 2010-Dec 2010</t>
  </si>
  <si>
    <t>Destination</t>
  </si>
  <si>
    <t>Kg</t>
  </si>
  <si>
    <t>FTZ/LMW</t>
  </si>
  <si>
    <t>Thailand</t>
  </si>
  <si>
    <t>Philippines</t>
  </si>
  <si>
    <t>Indonesia</t>
  </si>
  <si>
    <t>Japan</t>
  </si>
  <si>
    <t>China</t>
  </si>
  <si>
    <t>Korea</t>
  </si>
  <si>
    <t>Taiwan</t>
  </si>
  <si>
    <t>India/Pakistan</t>
  </si>
  <si>
    <t>Middle East</t>
  </si>
  <si>
    <t>Africa</t>
  </si>
  <si>
    <t>Australia</t>
  </si>
  <si>
    <t>Europe</t>
  </si>
  <si>
    <t>Apr 2010 - Sept 2010</t>
  </si>
  <si>
    <t>NCB (MECIB)- check GL (8000 55015 / 6000 54014)</t>
  </si>
  <si>
    <t>Q111</t>
  </si>
  <si>
    <t>Q211</t>
  </si>
  <si>
    <t>Q311</t>
  </si>
  <si>
    <t>Q411</t>
  </si>
  <si>
    <t>Apr 2010-Mar 2011</t>
  </si>
  <si>
    <t>Effects of applying FRS 139</t>
  </si>
  <si>
    <t>- as restated</t>
  </si>
  <si>
    <t>Apr 2010 - Dec-10</t>
  </si>
  <si>
    <t>5301501313</t>
  </si>
  <si>
    <t>PETROL - WUT 1952</t>
  </si>
  <si>
    <t>5302701013</t>
  </si>
  <si>
    <t>VEHICLE EXP-R&amp;M-WUT1952</t>
  </si>
  <si>
    <t>5302701113</t>
  </si>
  <si>
    <t>VEHICLE EXP-INS-WUT1952</t>
  </si>
  <si>
    <t>TRAV-LOCAL CAR RENTAL</t>
  </si>
  <si>
    <t>5302801200</t>
  </si>
  <si>
    <t>EDUCATION&amp;TRAINING-O'SEA</t>
  </si>
  <si>
    <t>2002003110</t>
  </si>
  <si>
    <t>2011101210</t>
  </si>
  <si>
    <t>CB FOREIGN CURRENCY A/C</t>
  </si>
  <si>
    <t>5201600000</t>
  </si>
  <si>
    <t>OME-EXPENSE PORTION RFA</t>
  </si>
  <si>
    <t xml:space="preserve">Exchange </t>
  </si>
  <si>
    <t>Total Comprehensive Income for the Year</t>
  </si>
  <si>
    <t xml:space="preserve"> - Owners of the Company</t>
  </si>
  <si>
    <t>FY11</t>
  </si>
  <si>
    <t>FY10</t>
  </si>
  <si>
    <t>Annual Financial Report for the period ended 31 March 2011 )</t>
  </si>
  <si>
    <t>FY12</t>
  </si>
  <si>
    <t>Apr 2011-Jun 2011</t>
  </si>
  <si>
    <t>Q1 2012</t>
  </si>
  <si>
    <t>1401301010</t>
  </si>
  <si>
    <t>1401301110</t>
  </si>
  <si>
    <t>1401301510</t>
  </si>
  <si>
    <t>1401301610</t>
  </si>
  <si>
    <t>1401305010</t>
  </si>
  <si>
    <t>2032001002</t>
  </si>
  <si>
    <t>PROV FOR FREIGHT-EXP. RP</t>
  </si>
  <si>
    <t>5303501012</t>
  </si>
  <si>
    <t>BANK CHGS-COMM-LC CONFIRM</t>
  </si>
  <si>
    <t>9151602001</t>
  </si>
  <si>
    <t>ENT-O'SEAS STAFF MEAL</t>
  </si>
  <si>
    <t>R&amp;M CRANE 25 &amp; 8T-INT LAB</t>
  </si>
  <si>
    <t>9152402509</t>
  </si>
  <si>
    <t>FORKLIFT RENTAL-09</t>
  </si>
  <si>
    <t>OP-LUBRILUM OIL</t>
  </si>
  <si>
    <t>9152062871</t>
  </si>
  <si>
    <t>EDGE TRIM &amp; ASS E-INT LAB</t>
  </si>
  <si>
    <t>9152010313</t>
  </si>
  <si>
    <t>AIR SYSTEM - FILTER</t>
  </si>
  <si>
    <t>9152066621</t>
  </si>
  <si>
    <t>STRETCHER-E SUP</t>
  </si>
  <si>
    <t>9152071021</t>
  </si>
  <si>
    <t>ROLL GRINDER-E SUP</t>
  </si>
  <si>
    <t>9152040271</t>
  </si>
  <si>
    <t>ADMIN BUILDING-INT LAB</t>
  </si>
  <si>
    <t>9151801900</t>
  </si>
  <si>
    <t>OFF EXP SAFETY APP&amp;EQUIP</t>
  </si>
  <si>
    <t>9151501324</t>
  </si>
  <si>
    <t>TRAV-PETROL-WKG3735</t>
  </si>
  <si>
    <t>9152701024</t>
  </si>
  <si>
    <t>VEHICLE EXP-R&amp;M-WKG3735</t>
  </si>
  <si>
    <t>9152701124</t>
  </si>
  <si>
    <t>9152402518</t>
  </si>
  <si>
    <t>FORKLIFT RENTAL - NO 18</t>
  </si>
  <si>
    <t>5301701300</t>
  </si>
  <si>
    <t>DATA LEASE LINE</t>
  </si>
  <si>
    <t>5300801800</t>
  </si>
  <si>
    <t>5301501311</t>
  </si>
  <si>
    <t>PETROL-WVJ 4630</t>
  </si>
  <si>
    <t>5302701111</t>
  </si>
  <si>
    <t>VEHICLE EXP-INS-WVJ4630</t>
  </si>
  <si>
    <t>5302701211</t>
  </si>
  <si>
    <t>VEHICLE EXP-R/TAX-WVJ4630</t>
  </si>
  <si>
    <t>5303201000</t>
  </si>
  <si>
    <t>5301602001</t>
  </si>
  <si>
    <t>5302801100</t>
  </si>
  <si>
    <t>EDUCTN&amp;TRNG-LOCAL TUITION</t>
  </si>
  <si>
    <t>5301801900</t>
  </si>
  <si>
    <t>OFF.EXP.SAFETY APP&amp;EQUIP.</t>
  </si>
  <si>
    <t>5302701227</t>
  </si>
  <si>
    <t>G/SLS-FOIL-PLAIN 21-40um</t>
  </si>
  <si>
    <t>4011110011</t>
  </si>
  <si>
    <t>RETURNS-B.SHT-PAYUNG</t>
  </si>
  <si>
    <t>RETURN-FOIL-PLAIN 21-40um</t>
  </si>
  <si>
    <t>FREIGHT-F-PLAIN 21-40um</t>
  </si>
  <si>
    <t>DISC-TRADE-F-PLAIN21-40um</t>
  </si>
  <si>
    <t>DISC-CASH-F-PLAIN 21-40um</t>
  </si>
  <si>
    <t>FOIL 21-40um-BASE METAL</t>
  </si>
  <si>
    <t>5021010211</t>
  </si>
  <si>
    <t>FLAT SHEET-METAL PREM</t>
  </si>
  <si>
    <t>5021030011</t>
  </si>
  <si>
    <t>COIL-METAL PREM</t>
  </si>
  <si>
    <t>5021610211</t>
  </si>
  <si>
    <t>L'QUERED FOIL-METAL PREM</t>
  </si>
  <si>
    <t>FOIL 21-40um-MELT LOSS</t>
  </si>
  <si>
    <t>FOIL 21-40um-SCRAP PREM</t>
  </si>
  <si>
    <t>FOIL 21-40um-DROSS REC</t>
  </si>
  <si>
    <t>FOIL 21-40um-DIRECT COST</t>
  </si>
  <si>
    <t>FOIL 21-40um-PERIOD COST</t>
  </si>
  <si>
    <t>2001800000</t>
  </si>
  <si>
    <t>2002203000</t>
  </si>
  <si>
    <t>2010500000</t>
  </si>
  <si>
    <t>CB CURRENT A/C</t>
  </si>
  <si>
    <t>2010510000</t>
  </si>
  <si>
    <t>CB FOREIGN CURRENCY USD</t>
  </si>
  <si>
    <t>PROV-TECHNICAL FEES</t>
  </si>
  <si>
    <t>2032300000</t>
  </si>
  <si>
    <t>PROV-PAINT DEVELOPMENT</t>
  </si>
  <si>
    <t>5201900000</t>
  </si>
  <si>
    <t>OME-FREIGHT-STORE ITEM</t>
  </si>
  <si>
    <t>5202000000</t>
  </si>
  <si>
    <t>OME-FG OBSOLESCENE</t>
  </si>
  <si>
    <t>OME-STORE OBSOLESCENE</t>
  </si>
  <si>
    <t>5202200000</t>
  </si>
  <si>
    <t>OME-TECHNICAL FEES</t>
  </si>
  <si>
    <t>OME-PAINT DEVELOPMENT</t>
  </si>
  <si>
    <t>5401101300</t>
  </si>
  <si>
    <t>INT.INCOME-STAFF LOAN</t>
  </si>
  <si>
    <t>EXCH-TRANSACTN-UNRLZ GAIN</t>
  </si>
  <si>
    <t>EXCH-TRANSCATION-RLZ GAIN</t>
  </si>
  <si>
    <t>FORWARD CONTRACT</t>
  </si>
  <si>
    <t>ENT-LOCAL STAFF MEAL</t>
  </si>
  <si>
    <t>9151601101</t>
  </si>
  <si>
    <t>ENT-O/SEAS STAFF MEAL</t>
  </si>
  <si>
    <t>ENT-LOCAL BUSINESS</t>
  </si>
  <si>
    <t>ENT-O/SEAS BUSINESS</t>
  </si>
  <si>
    <t>5301601101</t>
  </si>
  <si>
    <t>5303100000</t>
  </si>
  <si>
    <t>Q112</t>
  </si>
  <si>
    <t>Q212</t>
  </si>
  <si>
    <t>Q312</t>
  </si>
  <si>
    <t>Q412</t>
  </si>
  <si>
    <t>BALANCE SHEET AS AT 30 June 2011</t>
  </si>
  <si>
    <t>CONSOLIDATED BALANCE SHEET AS AT 30 JUNE 2011</t>
  </si>
  <si>
    <t>Apr 2010 - Mar-11</t>
  </si>
  <si>
    <t>Balance as at 1 April  2011</t>
  </si>
  <si>
    <t>Condensed Consolidated Statement of Cash Flows (Unaudited)</t>
  </si>
  <si>
    <t xml:space="preserve">(The Condensed Consolidated Statement of Financial Position  should be read in </t>
  </si>
  <si>
    <t>conjunction with the Annual Financial Report for the period ended 31 March 2011 )</t>
  </si>
  <si>
    <t>Annual Financial Report for the year ended 31 March 2011 )</t>
  </si>
  <si>
    <t>(The Condensed Consolidated Statement of Comprehensive Income should be read in conjunction with the</t>
  </si>
  <si>
    <t>(The Condensed Consolidated Statement of Changes in Equity  should be read in conjunction with the</t>
  </si>
  <si>
    <t>(The Condensed Consolidated Statement of Cash Flows should be read in conjunction</t>
  </si>
  <si>
    <t>with the Annual Financial Report for the period ended 31 March 2011 )</t>
  </si>
  <si>
    <t>Condensed Consolidated Statement of Financial Position as at 30 Sept 2011 (Unaudited)</t>
  </si>
  <si>
    <t>30 SEP 2011</t>
  </si>
  <si>
    <t>Condensed Consolidated Statement of Comprehensive Income (Unaudited) for the Quarter ended 30 Sep 2011</t>
  </si>
  <si>
    <t xml:space="preserve">  Quarter ended 30 Sep</t>
  </si>
  <si>
    <t xml:space="preserve">  6 months ended 30 Sep</t>
  </si>
  <si>
    <t>Balance as at 30 Sep 2010</t>
  </si>
  <si>
    <t>Balance as at 30 Sep 2011</t>
  </si>
  <si>
    <t>Condensed Consolidated Statement of Changes In Equity (Unaudited) For the Quarter Ended 30 Sep 2011</t>
  </si>
  <si>
    <t>6 months ended 30 Sep</t>
  </si>
  <si>
    <t>31 MAR 2011</t>
  </si>
</sst>
</file>

<file path=xl/styles.xml><?xml version="1.0" encoding="utf-8"?>
<styleSheet xmlns="http://schemas.openxmlformats.org/spreadsheetml/2006/main">
  <numFmts count="23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(* #,##0_);_(* \(#,##0\);_(* &quot;-&quot;??_);_(@_)"/>
    <numFmt numFmtId="168" formatCode="General_)"/>
    <numFmt numFmtId="169" formatCode="_-* #,##0.0000_-;\-* #,##0.0000_-;_-* &quot;-&quot;??_-;_-@_-"/>
    <numFmt numFmtId="170" formatCode="0_);\(0\)"/>
    <numFmt numFmtId="171" formatCode="0.0%"/>
    <numFmt numFmtId="172" formatCode="#,##0.000"/>
    <numFmt numFmtId="173" formatCode="m/d/yyyy"/>
    <numFmt numFmtId="174" formatCode="dd\-mmm\-yy_)"/>
    <numFmt numFmtId="175" formatCode="d\-mmm\-yy"/>
    <numFmt numFmtId="176" formatCode="#,##0.0_);\(#,##0.0\)"/>
    <numFmt numFmtId="177" formatCode="0.000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_([$€]* #,##0.00_);_([$€]* \(#,##0.00\);_([$€]* &quot;-&quot;??_);_(@_)"/>
    <numFmt numFmtId="181" formatCode="mmm\-yyyy"/>
    <numFmt numFmtId="182" formatCode=";;;"/>
    <numFmt numFmtId="183" formatCode=";;"/>
    <numFmt numFmtId="184" formatCode="[$-409]mmm\-yy;@"/>
  </numFmts>
  <fonts count="5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20"/>
      <name val="Arial"/>
      <family val="2"/>
    </font>
    <font>
      <b/>
      <u/>
      <sz val="8"/>
      <color indexed="20"/>
      <name val="Arial"/>
      <family val="2"/>
    </font>
    <font>
      <sz val="10"/>
      <color indexed="2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61"/>
      <name val="Arial"/>
      <family val="2"/>
    </font>
    <font>
      <sz val="10"/>
      <color indexed="16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sz val="10"/>
      <name val="Helv"/>
      <family val="2"/>
    </font>
    <font>
      <sz val="12"/>
      <name val="바탕체"/>
      <family val="1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돋움"/>
      <family val="3"/>
      <charset val="129"/>
    </font>
    <font>
      <sz val="10"/>
      <color indexed="10"/>
      <name val="Arial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9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5">
    <xf numFmtId="0" fontId="0" fillId="0" borderId="0"/>
    <xf numFmtId="0" fontId="2" fillId="0" borderId="0"/>
    <xf numFmtId="0" fontId="27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2" borderId="1" applyNumberFormat="0" applyAlignment="0" applyProtection="0"/>
    <xf numFmtId="0" fontId="32" fillId="0" borderId="0"/>
    <xf numFmtId="0" fontId="33" fillId="16" borderId="2" applyNumberFormat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0" applyNumberFormat="0" applyBorder="0" applyAlignment="0" applyProtection="0"/>
    <xf numFmtId="38" fontId="7" fillId="18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1" applyNumberFormat="0" applyAlignment="0" applyProtection="0"/>
    <xf numFmtId="10" fontId="7" fillId="18" borderId="6" applyNumberFormat="0" applyBorder="0" applyAlignment="0" applyProtection="0"/>
    <xf numFmtId="0" fontId="41" fillId="0" borderId="7" applyNumberFormat="0" applyFill="0" applyAlignment="0" applyProtection="0"/>
    <xf numFmtId="0" fontId="42" fillId="0" borderId="8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43" fillId="8" borderId="0" applyNumberFormat="0" applyBorder="0" applyAlignment="0" applyProtection="0"/>
    <xf numFmtId="168" fontId="3" fillId="0" borderId="0"/>
    <xf numFmtId="0" fontId="3" fillId="4" borderId="9" applyNumberFormat="0" applyFont="0" applyAlignment="0" applyProtection="0"/>
    <xf numFmtId="0" fontId="44" fillId="2" borderId="10" applyNumberFormat="0" applyAlignment="0" applyProtection="0"/>
    <xf numFmtId="10" fontId="6" fillId="0" borderId="0" applyFont="0" applyFill="0" applyBorder="0" applyAlignment="0" applyProtection="0"/>
    <xf numFmtId="0" fontId="26" fillId="0" borderId="0"/>
    <xf numFmtId="0" fontId="42" fillId="0" borderId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8" fillId="0" borderId="0"/>
    <xf numFmtId="0" fontId="2" fillId="0" borderId="0"/>
  </cellStyleXfs>
  <cellXfs count="599">
    <xf numFmtId="0" fontId="0" fillId="0" borderId="0" xfId="0"/>
    <xf numFmtId="3" fontId="6" fillId="19" borderId="12" xfId="0" applyNumberFormat="1" applyFont="1" applyFill="1" applyBorder="1"/>
    <xf numFmtId="3" fontId="8" fillId="0" borderId="0" xfId="0" applyNumberFormat="1" applyFont="1" applyFill="1" applyAlignment="1">
      <alignment horizontal="right"/>
    </xf>
    <xf numFmtId="17" fontId="8" fillId="0" borderId="0" xfId="0" applyNumberFormat="1" applyFont="1" applyAlignment="1">
      <alignment horizontal="center"/>
    </xf>
    <xf numFmtId="3" fontId="8" fillId="0" borderId="0" xfId="0" applyNumberFormat="1" applyFont="1"/>
    <xf numFmtId="3" fontId="8" fillId="0" borderId="0" xfId="0" applyNumberFormat="1" applyFont="1" applyAlignment="1">
      <alignment horizontal="right"/>
    </xf>
    <xf numFmtId="167" fontId="6" fillId="19" borderId="0" xfId="0" applyNumberFormat="1" applyFont="1" applyFill="1"/>
    <xf numFmtId="2" fontId="6" fillId="0" borderId="0" xfId="0" applyNumberFormat="1" applyFont="1" applyAlignment="1" applyProtection="1"/>
    <xf numFmtId="2" fontId="6" fillId="0" borderId="0" xfId="0" applyNumberFormat="1" applyFont="1" applyAlignment="1" applyProtection="1">
      <alignment horizontal="right"/>
    </xf>
    <xf numFmtId="1" fontId="12" fillId="0" borderId="0" xfId="0" applyNumberFormat="1" applyFont="1"/>
    <xf numFmtId="0" fontId="6" fillId="0" borderId="0" xfId="0" applyFont="1" applyAlignment="1" applyProtection="1"/>
    <xf numFmtId="4" fontId="11" fillId="0" borderId="0" xfId="0" applyNumberFormat="1" applyFont="1"/>
    <xf numFmtId="0" fontId="6" fillId="0" borderId="13" xfId="0" applyFont="1" applyFill="1" applyBorder="1"/>
    <xf numFmtId="37" fontId="6" fillId="0" borderId="14" xfId="0" applyNumberFormat="1" applyFont="1" applyBorder="1"/>
    <xf numFmtId="0" fontId="6" fillId="0" borderId="14" xfId="0" applyFont="1" applyFill="1" applyBorder="1"/>
    <xf numFmtId="167" fontId="6" fillId="0" borderId="13" xfId="31" applyNumberFormat="1" applyFont="1" applyFill="1" applyBorder="1"/>
    <xf numFmtId="37" fontId="6" fillId="0" borderId="0" xfId="31" applyNumberFormat="1" applyFont="1"/>
    <xf numFmtId="16" fontId="6" fillId="0" borderId="0" xfId="0" applyNumberFormat="1" applyFont="1" applyBorder="1" applyAlignment="1">
      <alignment horizontal="center"/>
    </xf>
    <xf numFmtId="167" fontId="6" fillId="0" borderId="14" xfId="31" applyNumberFormat="1" applyFont="1" applyFill="1" applyBorder="1"/>
    <xf numFmtId="0" fontId="4" fillId="0" borderId="0" xfId="0" applyNumberFormat="1" applyFont="1"/>
    <xf numFmtId="2" fontId="0" fillId="20" borderId="0" xfId="0" applyNumberFormat="1" applyFill="1"/>
    <xf numFmtId="37" fontId="6" fillId="0" borderId="15" xfId="31" applyNumberFormat="1" applyFont="1" applyFill="1" applyBorder="1"/>
    <xf numFmtId="37" fontId="6" fillId="0" borderId="16" xfId="31" applyNumberFormat="1" applyFont="1" applyFill="1" applyBorder="1"/>
    <xf numFmtId="17" fontId="4" fillId="0" borderId="0" xfId="0" applyNumberFormat="1" applyFont="1" applyAlignment="1">
      <alignment horizontal="left"/>
    </xf>
    <xf numFmtId="0" fontId="0" fillId="0" borderId="0" xfId="0" applyNumberFormat="1"/>
    <xf numFmtId="0" fontId="4" fillId="0" borderId="0" xfId="0" applyFont="1"/>
    <xf numFmtId="1" fontId="0" fillId="0" borderId="0" xfId="0" applyNumberFormat="1"/>
    <xf numFmtId="4" fontId="0" fillId="0" borderId="0" xfId="0" applyNumberFormat="1"/>
    <xf numFmtId="0" fontId="1" fillId="0" borderId="0" xfId="0" applyNumberFormat="1" applyFont="1"/>
    <xf numFmtId="0" fontId="1" fillId="0" borderId="0" xfId="0" applyFont="1"/>
    <xf numFmtId="0" fontId="6" fillId="0" borderId="0" xfId="0" applyFont="1"/>
    <xf numFmtId="3" fontId="7" fillId="0" borderId="0" xfId="0" applyNumberFormat="1" applyFont="1"/>
    <xf numFmtId="0" fontId="6" fillId="0" borderId="0" xfId="0" applyNumberFormat="1" applyFont="1"/>
    <xf numFmtId="1" fontId="6" fillId="0" borderId="0" xfId="0" applyNumberFormat="1" applyFont="1"/>
    <xf numFmtId="0" fontId="7" fillId="0" borderId="0" xfId="0" applyFont="1"/>
    <xf numFmtId="0" fontId="7" fillId="0" borderId="0" xfId="0" applyNumberFormat="1" applyFont="1"/>
    <xf numFmtId="1" fontId="7" fillId="0" borderId="0" xfId="0" applyNumberFormat="1" applyFont="1"/>
    <xf numFmtId="0" fontId="5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6" fontId="6" fillId="0" borderId="16" xfId="0" applyNumberFormat="1" applyFont="1" applyBorder="1" applyAlignment="1">
      <alignment horizontal="center"/>
    </xf>
    <xf numFmtId="16" fontId="6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0" fillId="0" borderId="0" xfId="0" applyFont="1"/>
    <xf numFmtId="0" fontId="7" fillId="0" borderId="0" xfId="0" applyFont="1" applyBorder="1"/>
    <xf numFmtId="0" fontId="11" fillId="0" borderId="0" xfId="0" applyFont="1"/>
    <xf numFmtId="3" fontId="4" fillId="0" borderId="0" xfId="0" applyNumberFormat="1" applyFont="1"/>
    <xf numFmtId="0" fontId="6" fillId="19" borderId="0" xfId="0" applyFont="1" applyFill="1"/>
    <xf numFmtId="0" fontId="19" fillId="0" borderId="0" xfId="0" applyFont="1"/>
    <xf numFmtId="0" fontId="4" fillId="0" borderId="0" xfId="0" applyFont="1" applyFill="1"/>
    <xf numFmtId="0" fontId="0" fillId="0" borderId="0" xfId="0" applyFill="1"/>
    <xf numFmtId="2" fontId="4" fillId="0" borderId="0" xfId="0" applyNumberFormat="1" applyFont="1" applyFill="1"/>
    <xf numFmtId="3" fontId="0" fillId="0" borderId="0" xfId="0" applyNumberFormat="1" applyFill="1"/>
    <xf numFmtId="0" fontId="0" fillId="0" borderId="0" xfId="0" quotePrefix="1" applyNumberFormat="1" applyAlignment="1">
      <alignment horizontal="left"/>
    </xf>
    <xf numFmtId="165" fontId="4" fillId="0" borderId="0" xfId="0" applyNumberFormat="1" applyFont="1" applyFill="1"/>
    <xf numFmtId="165" fontId="2" fillId="0" borderId="0" xfId="0" applyNumberFormat="1" applyFont="1" applyFill="1"/>
    <xf numFmtId="170" fontId="4" fillId="0" borderId="0" xfId="31" applyNumberFormat="1" applyFont="1" applyAlignment="1">
      <alignment horizontal="center"/>
    </xf>
    <xf numFmtId="0" fontId="6" fillId="19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 applyFill="1" applyAlignment="1">
      <alignment horizontal="centerContinuous"/>
    </xf>
    <xf numFmtId="17" fontId="0" fillId="0" borderId="0" xfId="0" applyNumberFormat="1" applyFill="1" applyAlignment="1">
      <alignment horizontal="centerContinuous"/>
    </xf>
    <xf numFmtId="3" fontId="4" fillId="0" borderId="0" xfId="0" applyNumberFormat="1" applyFont="1" applyAlignment="1">
      <alignment horizontal="center"/>
    </xf>
    <xf numFmtId="0" fontId="6" fillId="19" borderId="16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Continuous"/>
    </xf>
    <xf numFmtId="0" fontId="12" fillId="0" borderId="0" xfId="0" applyFont="1"/>
    <xf numFmtId="165" fontId="6" fillId="19" borderId="0" xfId="0" applyNumberFormat="1" applyFont="1" applyFill="1"/>
    <xf numFmtId="3" fontId="4" fillId="0" borderId="0" xfId="0" applyNumberFormat="1" applyFont="1" applyFill="1"/>
    <xf numFmtId="164" fontId="0" fillId="0" borderId="0" xfId="0" applyNumberFormat="1"/>
    <xf numFmtId="165" fontId="0" fillId="0" borderId="0" xfId="0" applyNumberFormat="1"/>
    <xf numFmtId="165" fontId="6" fillId="0" borderId="0" xfId="0" applyNumberFormat="1" applyFont="1" applyFill="1"/>
    <xf numFmtId="165" fontId="6" fillId="0" borderId="0" xfId="0" applyNumberFormat="1" applyFont="1"/>
    <xf numFmtId="37" fontId="6" fillId="19" borderId="0" xfId="31" applyNumberFormat="1" applyFont="1" applyFill="1"/>
    <xf numFmtId="3" fontId="4" fillId="19" borderId="12" xfId="0" applyNumberFormat="1" applyFont="1" applyFill="1" applyBorder="1"/>
    <xf numFmtId="165" fontId="6" fillId="19" borderId="12" xfId="0" applyNumberFormat="1" applyFont="1" applyFill="1" applyBorder="1"/>
    <xf numFmtId="3" fontId="4" fillId="0" borderId="12" xfId="0" applyNumberFormat="1" applyFont="1" applyFill="1" applyBorder="1"/>
    <xf numFmtId="3" fontId="6" fillId="0" borderId="0" xfId="0" applyNumberFormat="1" applyFont="1"/>
    <xf numFmtId="3" fontId="0" fillId="0" borderId="0" xfId="0" applyNumberFormat="1"/>
    <xf numFmtId="3" fontId="6" fillId="0" borderId="0" xfId="0" applyNumberFormat="1" applyFont="1" applyFill="1"/>
    <xf numFmtId="3" fontId="6" fillId="0" borderId="0" xfId="0" applyNumberFormat="1" applyFont="1" applyFill="1" applyBorder="1"/>
    <xf numFmtId="165" fontId="6" fillId="0" borderId="0" xfId="0" applyNumberFormat="1" applyFont="1" applyFill="1" applyBorder="1"/>
    <xf numFmtId="165" fontId="6" fillId="19" borderId="18" xfId="0" applyNumberFormat="1" applyFont="1" applyFill="1" applyBorder="1"/>
    <xf numFmtId="3" fontId="4" fillId="0" borderId="18" xfId="0" applyNumberFormat="1" applyFont="1" applyFill="1" applyBorder="1"/>
    <xf numFmtId="164" fontId="4" fillId="0" borderId="0" xfId="0" applyNumberFormat="1" applyFont="1" applyFill="1"/>
    <xf numFmtId="164" fontId="2" fillId="0" borderId="0" xfId="0" applyNumberFormat="1" applyFont="1" applyFill="1"/>
    <xf numFmtId="3" fontId="4" fillId="0" borderId="16" xfId="0" applyNumberFormat="1" applyFont="1" applyBorder="1"/>
    <xf numFmtId="165" fontId="6" fillId="19" borderId="16" xfId="0" applyNumberFormat="1" applyFont="1" applyFill="1" applyBorder="1"/>
    <xf numFmtId="3" fontId="4" fillId="0" borderId="16" xfId="0" applyNumberFormat="1" applyFont="1" applyFill="1" applyBorder="1"/>
    <xf numFmtId="165" fontId="2" fillId="0" borderId="0" xfId="0" applyNumberFormat="1" applyFont="1" applyFill="1" applyBorder="1"/>
    <xf numFmtId="165" fontId="6" fillId="0" borderId="16" xfId="0" applyNumberFormat="1" applyFont="1" applyFill="1" applyBorder="1"/>
    <xf numFmtId="43" fontId="6" fillId="19" borderId="0" xfId="31" applyFont="1" applyFill="1"/>
    <xf numFmtId="3" fontId="4" fillId="0" borderId="0" xfId="31" applyNumberFormat="1" applyFont="1" applyFill="1"/>
    <xf numFmtId="164" fontId="6" fillId="19" borderId="0" xfId="0" applyNumberFormat="1" applyFont="1" applyFill="1"/>
    <xf numFmtId="0" fontId="0" fillId="0" borderId="0" xfId="0" quotePrefix="1" applyAlignment="1">
      <alignment horizontal="left"/>
    </xf>
    <xf numFmtId="0" fontId="0" fillId="0" borderId="0" xfId="0" quotePrefix="1" applyAlignment="1"/>
    <xf numFmtId="164" fontId="6" fillId="0" borderId="0" xfId="0" applyNumberFormat="1" applyFont="1" applyFill="1"/>
    <xf numFmtId="165" fontId="2" fillId="0" borderId="18" xfId="0" applyNumberFormat="1" applyFont="1" applyFill="1" applyBorder="1"/>
    <xf numFmtId="4" fontId="4" fillId="0" borderId="0" xfId="0" applyNumberFormat="1" applyFont="1" applyFill="1"/>
    <xf numFmtId="169" fontId="6" fillId="19" borderId="0" xfId="0" applyNumberFormat="1" applyFont="1" applyFill="1"/>
    <xf numFmtId="169" fontId="6" fillId="0" borderId="0" xfId="0" applyNumberFormat="1" applyFont="1" applyFill="1" applyBorder="1"/>
    <xf numFmtId="165" fontId="0" fillId="0" borderId="0" xfId="0" applyNumberFormat="1" applyFill="1"/>
    <xf numFmtId="0" fontId="6" fillId="0" borderId="0" xfId="0" applyFont="1" applyFill="1"/>
    <xf numFmtId="4" fontId="4" fillId="0" borderId="0" xfId="0" applyNumberFormat="1" applyFont="1"/>
    <xf numFmtId="43" fontId="6" fillId="19" borderId="0" xfId="0" applyNumberFormat="1" applyFont="1" applyFill="1"/>
    <xf numFmtId="43" fontId="4" fillId="0" borderId="0" xfId="0" applyNumberFormat="1" applyFont="1" applyFill="1"/>
    <xf numFmtId="43" fontId="6" fillId="0" borderId="0" xfId="0" applyNumberFormat="1" applyFont="1" applyFill="1"/>
    <xf numFmtId="3" fontId="6" fillId="19" borderId="0" xfId="0" applyNumberFormat="1" applyFont="1" applyFill="1"/>
    <xf numFmtId="3" fontId="7" fillId="0" borderId="0" xfId="0" applyNumberFormat="1" applyFont="1" applyAlignment="1">
      <alignment horizontal="right"/>
    </xf>
    <xf numFmtId="4" fontId="0" fillId="0" borderId="0" xfId="0" applyNumberFormat="1" applyFill="1"/>
    <xf numFmtId="15" fontId="0" fillId="0" borderId="0" xfId="0" applyNumberFormat="1" applyAlignment="1">
      <alignment horizontal="center"/>
    </xf>
    <xf numFmtId="4" fontId="0" fillId="0" borderId="12" xfId="0" applyNumberFormat="1" applyBorder="1"/>
    <xf numFmtId="0" fontId="0" fillId="0" borderId="0" xfId="0" applyBorder="1"/>
    <xf numFmtId="0" fontId="1" fillId="0" borderId="0" xfId="0" applyFont="1" applyFill="1"/>
    <xf numFmtId="1" fontId="6" fillId="0" borderId="0" xfId="0" applyNumberFormat="1" applyFont="1" applyFill="1"/>
    <xf numFmtId="0" fontId="7" fillId="0" borderId="0" xfId="0" applyFont="1" applyFill="1"/>
    <xf numFmtId="0" fontId="8" fillId="0" borderId="0" xfId="0" applyFont="1" applyFill="1"/>
    <xf numFmtId="0" fontId="0" fillId="0" borderId="0" xfId="0" applyFill="1" applyBorder="1"/>
    <xf numFmtId="4" fontId="6" fillId="0" borderId="0" xfId="0" applyNumberFormat="1" applyFont="1" applyFill="1"/>
    <xf numFmtId="0" fontId="6" fillId="0" borderId="0" xfId="0" applyFont="1" applyFill="1" applyBorder="1"/>
    <xf numFmtId="0" fontId="11" fillId="0" borderId="0" xfId="0" applyFont="1" applyFill="1"/>
    <xf numFmtId="17" fontId="4" fillId="0" borderId="0" xfId="31" applyNumberFormat="1" applyFont="1" applyAlignment="1">
      <alignment horizontal="center"/>
    </xf>
    <xf numFmtId="0" fontId="11" fillId="0" borderId="0" xfId="0" applyNumberFormat="1" applyFont="1"/>
    <xf numFmtId="1" fontId="4" fillId="0" borderId="0" xfId="0" applyNumberFormat="1" applyFont="1"/>
    <xf numFmtId="0" fontId="9" fillId="0" borderId="0" xfId="0" applyFont="1"/>
    <xf numFmtId="4" fontId="0" fillId="0" borderId="0" xfId="0" applyNumberFormat="1" applyBorder="1"/>
    <xf numFmtId="0" fontId="15" fillId="0" borderId="0" xfId="0" applyFont="1" applyBorder="1"/>
    <xf numFmtId="0" fontId="16" fillId="0" borderId="0" xfId="0" applyFont="1" applyBorder="1"/>
    <xf numFmtId="3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7" fontId="0" fillId="0" borderId="0" xfId="0" applyNumberFormat="1" applyFill="1" applyBorder="1" applyAlignment="1">
      <alignment horizontal="centerContinuous"/>
    </xf>
    <xf numFmtId="3" fontId="0" fillId="0" borderId="0" xfId="0" applyNumberFormat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3" fontId="0" fillId="0" borderId="0" xfId="0" applyNumberFormat="1" applyFill="1" applyBorder="1" applyAlignment="1">
      <alignment horizontal="centerContinuous"/>
    </xf>
    <xf numFmtId="4" fontId="6" fillId="19" borderId="0" xfId="0" applyNumberFormat="1" applyFont="1" applyFill="1"/>
    <xf numFmtId="165" fontId="2" fillId="0" borderId="0" xfId="0" applyNumberFormat="1" applyFont="1" applyBorder="1"/>
    <xf numFmtId="165" fontId="6" fillId="0" borderId="0" xfId="0" applyNumberFormat="1" applyFont="1" applyBorder="1"/>
    <xf numFmtId="0" fontId="5" fillId="0" borderId="0" xfId="0" applyFont="1" applyBorder="1"/>
    <xf numFmtId="165" fontId="6" fillId="22" borderId="0" xfId="0" applyNumberFormat="1" applyFont="1" applyFill="1" applyBorder="1"/>
    <xf numFmtId="165" fontId="5" fillId="0" borderId="0" xfId="0" applyNumberFormat="1" applyFont="1" applyFill="1" applyBorder="1"/>
    <xf numFmtId="4" fontId="6" fillId="19" borderId="0" xfId="31" applyNumberFormat="1" applyFont="1" applyFill="1"/>
    <xf numFmtId="4" fontId="6" fillId="19" borderId="12" xfId="0" applyNumberFormat="1" applyFont="1" applyFill="1" applyBorder="1"/>
    <xf numFmtId="4" fontId="4" fillId="19" borderId="12" xfId="0" applyNumberFormat="1" applyFont="1" applyFill="1" applyBorder="1"/>
    <xf numFmtId="4" fontId="4" fillId="19" borderId="0" xfId="0" applyNumberFormat="1" applyFont="1" applyFill="1"/>
    <xf numFmtId="3" fontId="2" fillId="0" borderId="0" xfId="0" applyNumberFormat="1" applyFont="1" applyFill="1" applyBorder="1"/>
    <xf numFmtId="4" fontId="6" fillId="19" borderId="18" xfId="0" applyNumberFormat="1" applyFont="1" applyFill="1" applyBorder="1"/>
    <xf numFmtId="4" fontId="4" fillId="19" borderId="18" xfId="0" applyNumberFormat="1" applyFont="1" applyFill="1" applyBorder="1"/>
    <xf numFmtId="3" fontId="0" fillId="0" borderId="16" xfId="0" applyNumberFormat="1" applyBorder="1"/>
    <xf numFmtId="4" fontId="6" fillId="19" borderId="16" xfId="0" applyNumberFormat="1" applyFont="1" applyFill="1" applyBorder="1"/>
    <xf numFmtId="4" fontId="4" fillId="0" borderId="16" xfId="0" applyNumberFormat="1" applyFont="1" applyFill="1" applyBorder="1"/>
    <xf numFmtId="4" fontId="4" fillId="19" borderId="0" xfId="31" applyNumberFormat="1" applyFont="1" applyFill="1"/>
    <xf numFmtId="164" fontId="2" fillId="0" borderId="0" xfId="0" applyNumberFormat="1" applyFont="1" applyFill="1" applyBorder="1"/>
    <xf numFmtId="165" fontId="0" fillId="0" borderId="0" xfId="0" applyNumberFormat="1" applyFill="1" applyBorder="1"/>
    <xf numFmtId="164" fontId="0" fillId="0" borderId="0" xfId="0" applyNumberFormat="1" applyBorder="1"/>
    <xf numFmtId="165" fontId="0" fillId="0" borderId="0" xfId="0" applyNumberFormat="1" applyBorder="1"/>
    <xf numFmtId="172" fontId="4" fillId="0" borderId="0" xfId="0" applyNumberFormat="1" applyFont="1" applyFill="1"/>
    <xf numFmtId="43" fontId="0" fillId="0" borderId="0" xfId="0" applyNumberFormat="1" applyBorder="1"/>
    <xf numFmtId="3" fontId="4" fillId="0" borderId="0" xfId="0" applyNumberFormat="1" applyFont="1" applyFill="1" applyBorder="1"/>
    <xf numFmtId="43" fontId="4" fillId="0" borderId="0" xfId="0" applyNumberFormat="1" applyFont="1" applyFill="1" applyBorder="1"/>
    <xf numFmtId="4" fontId="0" fillId="0" borderId="0" xfId="0" applyNumberFormat="1" applyFill="1" applyBorder="1"/>
    <xf numFmtId="0" fontId="0" fillId="0" borderId="12" xfId="0" applyBorder="1"/>
    <xf numFmtId="175" fontId="2" fillId="0" borderId="0" xfId="31" applyNumberFormat="1" applyAlignment="1">
      <alignment horizontal="center"/>
    </xf>
    <xf numFmtId="170" fontId="4" fillId="0" borderId="0" xfId="31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Continuous"/>
    </xf>
    <xf numFmtId="3" fontId="4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2" fillId="0" borderId="0" xfId="0" applyNumberFormat="1" applyFont="1" applyFill="1"/>
    <xf numFmtId="4" fontId="12" fillId="0" borderId="0" xfId="0" applyNumberFormat="1" applyFont="1" applyFill="1"/>
    <xf numFmtId="4" fontId="2" fillId="0" borderId="12" xfId="0" applyNumberFormat="1" applyFont="1" applyFill="1" applyBorder="1"/>
    <xf numFmtId="4" fontId="4" fillId="0" borderId="12" xfId="0" applyNumberFormat="1" applyFont="1" applyFill="1" applyBorder="1"/>
    <xf numFmtId="4" fontId="6" fillId="0" borderId="18" xfId="0" applyNumberFormat="1" applyFont="1" applyFill="1" applyBorder="1"/>
    <xf numFmtId="4" fontId="4" fillId="0" borderId="18" xfId="0" applyNumberFormat="1" applyFont="1" applyFill="1" applyBorder="1"/>
    <xf numFmtId="37" fontId="0" fillId="0" borderId="0" xfId="0" applyNumberFormat="1"/>
    <xf numFmtId="4" fontId="2" fillId="0" borderId="16" xfId="0" applyNumberFormat="1" applyFont="1" applyFill="1" applyBorder="1"/>
    <xf numFmtId="4" fontId="0" fillId="0" borderId="16" xfId="0" applyNumberFormat="1" applyFill="1" applyBorder="1"/>
    <xf numFmtId="4" fontId="6" fillId="0" borderId="0" xfId="31" applyNumberFormat="1" applyFont="1" applyFill="1" applyBorder="1"/>
    <xf numFmtId="4" fontId="2" fillId="0" borderId="18" xfId="0" applyNumberFormat="1" applyFont="1" applyFill="1" applyBorder="1"/>
    <xf numFmtId="3" fontId="7" fillId="0" borderId="0" xfId="0" applyNumberFormat="1" applyFont="1" applyFill="1" applyAlignment="1">
      <alignment horizontal="right"/>
    </xf>
    <xf numFmtId="17" fontId="7" fillId="0" borderId="0" xfId="0" applyNumberFormat="1" applyFont="1" applyAlignment="1">
      <alignment horizontal="center"/>
    </xf>
    <xf numFmtId="3" fontId="7" fillId="0" borderId="0" xfId="0" applyNumberFormat="1" applyFont="1" applyFill="1"/>
    <xf numFmtId="15" fontId="7" fillId="0" borderId="0" xfId="0" applyNumberFormat="1" applyFont="1" applyAlignment="1">
      <alignment horizontal="center"/>
    </xf>
    <xf numFmtId="165" fontId="17" fillId="0" borderId="0" xfId="0" applyNumberFormat="1" applyFont="1" applyFill="1"/>
    <xf numFmtId="4" fontId="17" fillId="0" borderId="0" xfId="0" applyNumberFormat="1" applyFont="1" applyFill="1"/>
    <xf numFmtId="0" fontId="6" fillId="0" borderId="13" xfId="0" applyFont="1" applyBorder="1"/>
    <xf numFmtId="0" fontId="6" fillId="0" borderId="21" xfId="0" applyFont="1" applyBorder="1"/>
    <xf numFmtId="0" fontId="6" fillId="0" borderId="23" xfId="0" applyFont="1" applyBorder="1"/>
    <xf numFmtId="0" fontId="6" fillId="0" borderId="17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16" xfId="0" applyBorder="1"/>
    <xf numFmtId="0" fontId="4" fillId="0" borderId="0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1" xfId="0" applyFont="1" applyBorder="1"/>
    <xf numFmtId="0" fontId="4" fillId="0" borderId="0" xfId="0" applyFont="1" applyFill="1" applyBorder="1"/>
    <xf numFmtId="0" fontId="4" fillId="0" borderId="2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Alignment="1">
      <alignment horizontal="center"/>
    </xf>
    <xf numFmtId="16" fontId="4" fillId="0" borderId="29" xfId="0" applyNumberFormat="1" applyFont="1" applyBorder="1" applyAlignment="1">
      <alignment horizontal="center"/>
    </xf>
    <xf numFmtId="16" fontId="4" fillId="0" borderId="30" xfId="0" applyNumberFormat="1" applyFont="1" applyBorder="1" applyAlignment="1">
      <alignment horizontal="center"/>
    </xf>
    <xf numFmtId="16" fontId="4" fillId="0" borderId="31" xfId="0" applyNumberFormat="1" applyFont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167" fontId="4" fillId="0" borderId="0" xfId="31" applyNumberFormat="1" applyFont="1" applyFill="1"/>
    <xf numFmtId="37" fontId="4" fillId="0" borderId="0" xfId="31" applyNumberFormat="1" applyFont="1"/>
    <xf numFmtId="37" fontId="4" fillId="0" borderId="0" xfId="0" applyNumberFormat="1" applyFont="1"/>
    <xf numFmtId="37" fontId="4" fillId="0" borderId="0" xfId="0" applyNumberFormat="1" applyFont="1" applyBorder="1"/>
    <xf numFmtId="37" fontId="4" fillId="0" borderId="0" xfId="0" applyNumberFormat="1" applyFont="1" applyFill="1"/>
    <xf numFmtId="37" fontId="4" fillId="0" borderId="0" xfId="0" applyNumberFormat="1" applyFont="1" applyFill="1" applyBorder="1"/>
    <xf numFmtId="37" fontId="4" fillId="0" borderId="16" xfId="0" applyNumberFormat="1" applyFont="1" applyBorder="1"/>
    <xf numFmtId="37" fontId="4" fillId="0" borderId="16" xfId="0" applyNumberFormat="1" applyFont="1" applyFill="1" applyBorder="1"/>
    <xf numFmtId="37" fontId="4" fillId="0" borderId="8" xfId="0" applyNumberFormat="1" applyFont="1" applyBorder="1"/>
    <xf numFmtId="39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15" fontId="4" fillId="0" borderId="0" xfId="0" applyNumberFormat="1" applyFont="1" applyAlignment="1">
      <alignment horizontal="centerContinuous"/>
    </xf>
    <xf numFmtId="0" fontId="4" fillId="0" borderId="16" xfId="0" applyFont="1" applyBorder="1" applyAlignment="1">
      <alignment horizontal="center"/>
    </xf>
    <xf numFmtId="3" fontId="4" fillId="0" borderId="12" xfId="0" applyNumberFormat="1" applyFont="1" applyBorder="1"/>
    <xf numFmtId="3" fontId="4" fillId="0" borderId="0" xfId="0" applyNumberFormat="1" applyFont="1" applyBorder="1"/>
    <xf numFmtId="3" fontId="4" fillId="0" borderId="8" xfId="0" applyNumberFormat="1" applyFont="1" applyBorder="1"/>
    <xf numFmtId="3" fontId="4" fillId="23" borderId="16" xfId="0" applyNumberFormat="1" applyFont="1" applyFill="1" applyBorder="1"/>
    <xf numFmtId="3" fontId="4" fillId="0" borderId="32" xfId="0" applyNumberFormat="1" applyFont="1" applyBorder="1"/>
    <xf numFmtId="37" fontId="4" fillId="0" borderId="0" xfId="0" applyNumberFormat="1" applyFont="1" applyAlignment="1">
      <alignment horizontal="center"/>
    </xf>
    <xf numFmtId="0" fontId="4" fillId="0" borderId="0" xfId="0" applyNumberFormat="1" applyFont="1" applyBorder="1"/>
    <xf numFmtId="16" fontId="4" fillId="0" borderId="0" xfId="0" applyNumberFormat="1" applyFont="1" applyFill="1" applyAlignment="1">
      <alignment horizontal="center"/>
    </xf>
    <xf numFmtId="37" fontId="4" fillId="0" borderId="12" xfId="0" applyNumberFormat="1" applyFont="1" applyFill="1" applyBorder="1"/>
    <xf numFmtId="37" fontId="4" fillId="0" borderId="12" xfId="0" applyNumberFormat="1" applyFont="1" applyBorder="1"/>
    <xf numFmtId="37" fontId="4" fillId="0" borderId="32" xfId="0" applyNumberFormat="1" applyFont="1" applyFill="1" applyBorder="1"/>
    <xf numFmtId="0" fontId="20" fillId="0" borderId="0" xfId="0" applyFont="1" applyBorder="1" applyAlignment="1">
      <alignment horizontal="centerContinuous"/>
    </xf>
    <xf numFmtId="3" fontId="0" fillId="0" borderId="0" xfId="0" applyNumberFormat="1" applyBorder="1"/>
    <xf numFmtId="3" fontId="0" fillId="0" borderId="12" xfId="0" applyNumberFormat="1" applyBorder="1"/>
    <xf numFmtId="1" fontId="0" fillId="0" borderId="12" xfId="0" applyNumberFormat="1" applyBorder="1"/>
    <xf numFmtId="1" fontId="0" fillId="0" borderId="0" xfId="0" applyNumberFormat="1" applyBorder="1"/>
    <xf numFmtId="166" fontId="0" fillId="0" borderId="0" xfId="0" applyNumberFormat="1"/>
    <xf numFmtId="3" fontId="0" fillId="20" borderId="0" xfId="0" applyNumberFormat="1" applyFill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9" fontId="2" fillId="0" borderId="0" xfId="0" applyNumberFormat="1" applyFont="1"/>
    <xf numFmtId="9" fontId="2" fillId="0" borderId="0" xfId="0" applyNumberFormat="1" applyFont="1" applyBorder="1"/>
    <xf numFmtId="0" fontId="4" fillId="0" borderId="0" xfId="0" applyFont="1" applyAlignment="1">
      <alignment horizontal="right"/>
    </xf>
    <xf numFmtId="3" fontId="0" fillId="19" borderId="12" xfId="0" applyNumberFormat="1" applyFill="1" applyBorder="1"/>
    <xf numFmtId="2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6" xfId="0" applyFill="1" applyBorder="1"/>
    <xf numFmtId="17" fontId="4" fillId="0" borderId="0" xfId="0" quotePrefix="1" applyNumberFormat="1" applyFont="1" applyAlignment="1">
      <alignment horizontal="left"/>
    </xf>
    <xf numFmtId="17" fontId="0" fillId="0" borderId="0" xfId="0" applyNumberFormat="1" applyAlignment="1">
      <alignment horizontal="left"/>
    </xf>
    <xf numFmtId="3" fontId="4" fillId="0" borderId="16" xfId="0" applyNumberFormat="1" applyFont="1" applyBorder="1" applyAlignment="1">
      <alignment horizontal="right"/>
    </xf>
    <xf numFmtId="3" fontId="4" fillId="20" borderId="12" xfId="0" applyNumberFormat="1" applyFont="1" applyFill="1" applyBorder="1"/>
    <xf numFmtId="3" fontId="4" fillId="20" borderId="0" xfId="0" applyNumberFormat="1" applyFont="1" applyFill="1"/>
    <xf numFmtId="3" fontId="0" fillId="0" borderId="0" xfId="0" applyNumberFormat="1" applyAlignment="1">
      <alignment horizontal="right"/>
    </xf>
    <xf numFmtId="0" fontId="6" fillId="0" borderId="0" xfId="0" applyFont="1" applyAlignment="1">
      <alignment horizontal="right"/>
    </xf>
    <xf numFmtId="0" fontId="6" fillId="0" borderId="16" xfId="0" applyFont="1" applyBorder="1"/>
    <xf numFmtId="167" fontId="6" fillId="0" borderId="0" xfId="31" applyNumberFormat="1" applyFont="1" applyFill="1" applyBorder="1"/>
    <xf numFmtId="37" fontId="6" fillId="0" borderId="12" xfId="0" applyNumberFormat="1" applyFont="1" applyBorder="1"/>
    <xf numFmtId="37" fontId="6" fillId="0" borderId="0" xfId="0" applyNumberFormat="1" applyFont="1"/>
    <xf numFmtId="0" fontId="0" fillId="0" borderId="0" xfId="0" applyFill="1" applyBorder="1" applyAlignment="1">
      <alignment horizontal="right"/>
    </xf>
    <xf numFmtId="3" fontId="0" fillId="24" borderId="0" xfId="0" applyNumberFormat="1" applyFill="1"/>
    <xf numFmtId="0" fontId="4" fillId="0" borderId="0" xfId="0" applyFont="1" applyAlignment="1" applyProtection="1">
      <alignment horizontal="left"/>
    </xf>
    <xf numFmtId="3" fontId="0" fillId="0" borderId="0" xfId="0" applyNumberFormat="1" applyBorder="1" applyAlignment="1">
      <alignment horizontal="right"/>
    </xf>
    <xf numFmtId="3" fontId="6" fillId="0" borderId="0" xfId="0" applyNumberFormat="1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3" fontId="6" fillId="0" borderId="0" xfId="0" applyNumberFormat="1" applyFont="1" applyAlignment="1" applyProtection="1">
      <alignment horizontal="left"/>
    </xf>
    <xf numFmtId="3" fontId="6" fillId="0" borderId="0" xfId="0" applyNumberFormat="1" applyFont="1" applyFill="1" applyAlignment="1" applyProtection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8" xfId="0" applyNumberFormat="1" applyFont="1" applyBorder="1"/>
    <xf numFmtId="37" fontId="6" fillId="0" borderId="0" xfId="0" applyNumberFormat="1" applyFont="1" applyFill="1" applyBorder="1"/>
    <xf numFmtId="0" fontId="4" fillId="0" borderId="0" xfId="0" applyNumberFormat="1" applyFont="1" applyAlignment="1"/>
    <xf numFmtId="0" fontId="0" fillId="20" borderId="0" xfId="0" applyFill="1"/>
    <xf numFmtId="0" fontId="6" fillId="0" borderId="0" xfId="0" applyFont="1" applyAlignment="1" applyProtection="1">
      <alignment horizontal="right"/>
    </xf>
    <xf numFmtId="3" fontId="6" fillId="0" borderId="12" xfId="0" applyNumberFormat="1" applyFont="1" applyBorder="1" applyAlignment="1" applyProtection="1">
      <alignment horizontal="right"/>
    </xf>
    <xf numFmtId="16" fontId="4" fillId="0" borderId="0" xfId="0" applyNumberFormat="1" applyFont="1" applyBorder="1" applyAlignment="1">
      <alignment horizontal="center"/>
    </xf>
    <xf numFmtId="0" fontId="6" fillId="0" borderId="22" xfId="0" applyFont="1" applyBorder="1"/>
    <xf numFmtId="0" fontId="6" fillId="0" borderId="14" xfId="0" applyFont="1" applyBorder="1"/>
    <xf numFmtId="0" fontId="6" fillId="0" borderId="14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37" fontId="0" fillId="0" borderId="16" xfId="0" applyNumberFormat="1" applyBorder="1"/>
    <xf numFmtId="0" fontId="11" fillId="0" borderId="0" xfId="0" applyFont="1" applyBorder="1"/>
    <xf numFmtId="0" fontId="6" fillId="0" borderId="15" xfId="0" applyFont="1" applyBorder="1"/>
    <xf numFmtId="0" fontId="6" fillId="20" borderId="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0" fontId="4" fillId="0" borderId="33" xfId="0" applyFont="1" applyBorder="1"/>
    <xf numFmtId="0" fontId="4" fillId="0" borderId="34" xfId="0" applyFont="1" applyBorder="1"/>
    <xf numFmtId="0" fontId="4" fillId="0" borderId="27" xfId="0" applyFont="1" applyBorder="1"/>
    <xf numFmtId="0" fontId="4" fillId="0" borderId="28" xfId="0" applyFont="1" applyBorder="1"/>
    <xf numFmtId="0" fontId="21" fillId="0" borderId="0" xfId="0" applyFont="1"/>
    <xf numFmtId="37" fontId="6" fillId="0" borderId="16" xfId="0" applyNumberFormat="1" applyFont="1" applyBorder="1"/>
    <xf numFmtId="37" fontId="6" fillId="0" borderId="0" xfId="0" applyNumberFormat="1" applyFont="1" applyFill="1"/>
    <xf numFmtId="37" fontId="4" fillId="0" borderId="16" xfId="0" applyNumberFormat="1" applyFont="1" applyBorder="1" applyAlignment="1">
      <alignment horizontal="right"/>
    </xf>
    <xf numFmtId="37" fontId="6" fillId="0" borderId="8" xfId="0" applyNumberFormat="1" applyFont="1" applyBorder="1"/>
    <xf numFmtId="37" fontId="6" fillId="20" borderId="0" xfId="0" applyNumberFormat="1" applyFont="1" applyFill="1"/>
    <xf numFmtId="37" fontId="4" fillId="21" borderId="0" xfId="0" applyNumberFormat="1" applyFont="1" applyFill="1"/>
    <xf numFmtId="37" fontId="6" fillId="0" borderId="12" xfId="0" applyNumberFormat="1" applyFont="1" applyFill="1" applyBorder="1"/>
    <xf numFmtId="37" fontId="6" fillId="20" borderId="12" xfId="0" applyNumberFormat="1" applyFont="1" applyFill="1" applyBorder="1"/>
    <xf numFmtId="15" fontId="4" fillId="0" borderId="27" xfId="0" applyNumberFormat="1" applyFont="1" applyBorder="1" applyAlignment="1">
      <alignment horizontal="centerContinuous"/>
    </xf>
    <xf numFmtId="15" fontId="4" fillId="0" borderId="28" xfId="0" applyNumberFormat="1" applyFont="1" applyBorder="1" applyAlignment="1">
      <alignment horizontal="centerContinuous"/>
    </xf>
    <xf numFmtId="0" fontId="22" fillId="0" borderId="0" xfId="0" applyFont="1"/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3" fontId="6" fillId="0" borderId="0" xfId="0" applyNumberFormat="1" applyFont="1" applyBorder="1"/>
    <xf numFmtId="3" fontId="6" fillId="0" borderId="12" xfId="0" applyNumberFormat="1" applyFont="1" applyBorder="1"/>
    <xf numFmtId="37" fontId="6" fillId="0" borderId="0" xfId="0" applyNumberFormat="1" applyFont="1" applyBorder="1"/>
    <xf numFmtId="37" fontId="0" fillId="0" borderId="12" xfId="0" applyNumberFormat="1" applyBorder="1"/>
    <xf numFmtId="0" fontId="6" fillId="20" borderId="0" xfId="0" applyFont="1" applyFill="1"/>
    <xf numFmtId="0" fontId="0" fillId="19" borderId="0" xfId="0" applyFill="1"/>
    <xf numFmtId="0" fontId="6" fillId="20" borderId="14" xfId="0" applyFont="1" applyFill="1" applyBorder="1" applyAlignment="1">
      <alignment horizontal="center"/>
    </xf>
    <xf numFmtId="37" fontId="6" fillId="0" borderId="13" xfId="0" applyNumberFormat="1" applyFont="1" applyBorder="1"/>
    <xf numFmtId="37" fontId="6" fillId="0" borderId="15" xfId="0" applyNumberFormat="1" applyFont="1" applyBorder="1"/>
    <xf numFmtId="37" fontId="6" fillId="0" borderId="17" xfId="0" applyNumberFormat="1" applyFont="1" applyBorder="1"/>
    <xf numFmtId="167" fontId="6" fillId="0" borderId="15" xfId="31" applyNumberFormat="1" applyFont="1" applyFill="1" applyBorder="1"/>
    <xf numFmtId="167" fontId="6" fillId="0" borderId="16" xfId="31" applyNumberFormat="1" applyFont="1" applyFill="1" applyBorder="1"/>
    <xf numFmtId="37" fontId="6" fillId="0" borderId="14" xfId="0" applyNumberFormat="1" applyFont="1" applyFill="1" applyBorder="1"/>
    <xf numFmtId="37" fontId="6" fillId="0" borderId="13" xfId="0" applyNumberFormat="1" applyFont="1" applyFill="1" applyBorder="1"/>
    <xf numFmtId="37" fontId="18" fillId="0" borderId="15" xfId="0" applyNumberFormat="1" applyFont="1" applyBorder="1"/>
    <xf numFmtId="37" fontId="18" fillId="0" borderId="16" xfId="0" applyNumberFormat="1" applyFont="1" applyBorder="1"/>
    <xf numFmtId="37" fontId="18" fillId="0" borderId="17" xfId="0" applyNumberFormat="1" applyFont="1" applyBorder="1"/>
    <xf numFmtId="167" fontId="6" fillId="0" borderId="21" xfId="31" applyNumberFormat="1" applyFont="1" applyFill="1" applyBorder="1"/>
    <xf numFmtId="167" fontId="6" fillId="0" borderId="22" xfId="31" applyNumberFormat="1" applyFont="1" applyFill="1" applyBorder="1"/>
    <xf numFmtId="167" fontId="6" fillId="0" borderId="23" xfId="31" applyNumberFormat="1" applyFont="1" applyFill="1" applyBorder="1"/>
    <xf numFmtId="37" fontId="6" fillId="0" borderId="21" xfId="0" applyNumberFormat="1" applyFont="1" applyFill="1" applyBorder="1"/>
    <xf numFmtId="37" fontId="6" fillId="0" borderId="22" xfId="0" applyNumberFormat="1" applyFont="1" applyFill="1" applyBorder="1"/>
    <xf numFmtId="37" fontId="6" fillId="0" borderId="23" xfId="0" applyNumberFormat="1" applyFont="1" applyFill="1" applyBorder="1"/>
    <xf numFmtId="37" fontId="6" fillId="0" borderId="21" xfId="0" applyNumberFormat="1" applyFont="1" applyBorder="1"/>
    <xf numFmtId="37" fontId="6" fillId="0" borderId="22" xfId="0" applyNumberFormat="1" applyFont="1" applyBorder="1"/>
    <xf numFmtId="37" fontId="6" fillId="0" borderId="23" xfId="0" applyNumberFormat="1" applyFont="1" applyBorder="1"/>
    <xf numFmtId="167" fontId="0" fillId="0" borderId="0" xfId="0" applyNumberFormat="1"/>
    <xf numFmtId="9" fontId="0" fillId="0" borderId="0" xfId="0" applyNumberFormat="1" applyFont="1"/>
    <xf numFmtId="0" fontId="6" fillId="25" borderId="0" xfId="0" applyFont="1" applyFill="1"/>
    <xf numFmtId="37" fontId="4" fillId="25" borderId="0" xfId="0" applyNumberFormat="1" applyFont="1" applyFill="1"/>
    <xf numFmtId="37" fontId="6" fillId="25" borderId="14" xfId="0" applyNumberFormat="1" applyFont="1" applyFill="1" applyBorder="1"/>
    <xf numFmtId="37" fontId="6" fillId="25" borderId="0" xfId="0" applyNumberFormat="1" applyFont="1" applyFill="1" applyBorder="1"/>
    <xf numFmtId="37" fontId="6" fillId="25" borderId="13" xfId="0" applyNumberFormat="1" applyFont="1" applyFill="1" applyBorder="1"/>
    <xf numFmtId="167" fontId="6" fillId="25" borderId="14" xfId="31" applyNumberFormat="1" applyFont="1" applyFill="1" applyBorder="1"/>
    <xf numFmtId="0" fontId="6" fillId="25" borderId="0" xfId="0" applyFont="1" applyFill="1" applyBorder="1"/>
    <xf numFmtId="37" fontId="6" fillId="25" borderId="0" xfId="0" applyNumberFormat="1" applyFont="1" applyFill="1"/>
    <xf numFmtId="167" fontId="6" fillId="25" borderId="0" xfId="31" applyNumberFormat="1" applyFont="1" applyFill="1" applyBorder="1"/>
    <xf numFmtId="0" fontId="0" fillId="25" borderId="0" xfId="0" applyFill="1"/>
    <xf numFmtId="0" fontId="4" fillId="25" borderId="0" xfId="0" applyFont="1" applyFill="1"/>
    <xf numFmtId="0" fontId="4" fillId="0" borderId="0" xfId="0" applyFont="1" applyBorder="1" applyAlignment="1">
      <alignment horizontal="right"/>
    </xf>
    <xf numFmtId="3" fontId="6" fillId="20" borderId="0" xfId="0" applyNumberFormat="1" applyFont="1" applyFill="1" applyAlignment="1" applyProtection="1">
      <alignment horizontal="right"/>
    </xf>
    <xf numFmtId="17" fontId="0" fillId="0" borderId="0" xfId="0" quotePrefix="1" applyNumberFormat="1" applyAlignment="1">
      <alignment horizontal="center"/>
    </xf>
    <xf numFmtId="1" fontId="5" fillId="0" borderId="0" xfId="0" applyNumberFormat="1" applyFont="1"/>
    <xf numFmtId="1" fontId="4" fillId="0" borderId="0" xfId="0" applyNumberFormat="1" applyFont="1" applyBorder="1"/>
    <xf numFmtId="1" fontId="5" fillId="21" borderId="0" xfId="0" applyNumberFormat="1" applyFont="1" applyFill="1"/>
    <xf numFmtId="1" fontId="6" fillId="0" borderId="14" xfId="0" applyNumberFormat="1" applyFont="1" applyBorder="1"/>
    <xf numFmtId="1" fontId="6" fillId="0" borderId="13" xfId="0" applyNumberFormat="1" applyFont="1" applyBorder="1"/>
    <xf numFmtId="1" fontId="6" fillId="21" borderId="0" xfId="0" applyNumberFormat="1" applyFont="1" applyFill="1"/>
    <xf numFmtId="1" fontId="6" fillId="19" borderId="0" xfId="0" applyNumberFormat="1" applyFont="1" applyFill="1"/>
    <xf numFmtId="1" fontId="4" fillId="0" borderId="16" xfId="0" applyNumberFormat="1" applyFont="1" applyBorder="1"/>
    <xf numFmtId="1" fontId="6" fillId="0" borderId="17" xfId="0" applyNumberFormat="1" applyFont="1" applyBorder="1"/>
    <xf numFmtId="1" fontId="6" fillId="0" borderId="16" xfId="0" applyNumberFormat="1" applyFont="1" applyBorder="1"/>
    <xf numFmtId="1" fontId="5" fillId="0" borderId="16" xfId="0" applyNumberFormat="1" applyFont="1" applyBorder="1"/>
    <xf numFmtId="1" fontId="4" fillId="0" borderId="0" xfId="0" applyNumberFormat="1" applyFont="1" applyFill="1"/>
    <xf numFmtId="1" fontId="6" fillId="0" borderId="0" xfId="0" applyNumberFormat="1" applyFont="1" applyBorder="1"/>
    <xf numFmtId="1" fontId="6" fillId="0" borderId="16" xfId="31" applyNumberFormat="1" applyFont="1" applyBorder="1"/>
    <xf numFmtId="1" fontId="6" fillId="0" borderId="0" xfId="31" applyNumberFormat="1" applyFont="1" applyFill="1" applyBorder="1"/>
    <xf numFmtId="1" fontId="6" fillId="0" borderId="19" xfId="0" applyNumberFormat="1" applyFont="1" applyBorder="1"/>
    <xf numFmtId="1" fontId="6" fillId="0" borderId="12" xfId="0" applyNumberFormat="1" applyFont="1" applyBorder="1"/>
    <xf numFmtId="1" fontId="6" fillId="0" borderId="20" xfId="0" applyNumberFormat="1" applyFont="1" applyBorder="1"/>
    <xf numFmtId="37" fontId="4" fillId="0" borderId="0" xfId="31" applyNumberFormat="1" applyFont="1" applyFill="1"/>
    <xf numFmtId="1" fontId="6" fillId="0" borderId="15" xfId="0" applyNumberFormat="1" applyFont="1" applyBorder="1"/>
    <xf numFmtId="1" fontId="6" fillId="0" borderId="14" xfId="0" applyNumberFormat="1" applyFont="1" applyFill="1" applyBorder="1"/>
    <xf numFmtId="1" fontId="6" fillId="0" borderId="0" xfId="0" applyNumberFormat="1" applyFont="1" applyFill="1" applyBorder="1"/>
    <xf numFmtId="1" fontId="6" fillId="0" borderId="13" xfId="0" applyNumberFormat="1" applyFont="1" applyFill="1" applyBorder="1"/>
    <xf numFmtId="0" fontId="0" fillId="0" borderId="19" xfId="0" applyBorder="1"/>
    <xf numFmtId="0" fontId="0" fillId="0" borderId="20" xfId="0" applyBorder="1"/>
    <xf numFmtId="37" fontId="6" fillId="0" borderId="14" xfId="31" applyNumberFormat="1" applyFont="1" applyFill="1" applyBorder="1"/>
    <xf numFmtId="37" fontId="6" fillId="0" borderId="0" xfId="31" applyNumberFormat="1" applyFont="1" applyFill="1" applyBorder="1"/>
    <xf numFmtId="37" fontId="6" fillId="0" borderId="13" xfId="31" applyNumberFormat="1" applyFont="1" applyFill="1" applyBorder="1"/>
    <xf numFmtId="37" fontId="6" fillId="0" borderId="21" xfId="31" applyNumberFormat="1" applyFont="1" applyFill="1" applyBorder="1"/>
    <xf numFmtId="37" fontId="6" fillId="0" borderId="22" xfId="31" applyNumberFormat="1" applyFont="1" applyFill="1" applyBorder="1"/>
    <xf numFmtId="37" fontId="6" fillId="0" borderId="23" xfId="31" applyNumberFormat="1" applyFont="1" applyFill="1" applyBorder="1"/>
    <xf numFmtId="37" fontId="6" fillId="25" borderId="14" xfId="31" applyNumberFormat="1" applyFont="1" applyFill="1" applyBorder="1"/>
    <xf numFmtId="1" fontId="6" fillId="19" borderId="15" xfId="0" applyNumberFormat="1" applyFont="1" applyFill="1" applyBorder="1"/>
    <xf numFmtId="2" fontId="5" fillId="0" borderId="0" xfId="0" applyNumberFormat="1" applyFont="1" applyAlignment="1" applyProtection="1">
      <alignment horizontal="right"/>
    </xf>
    <xf numFmtId="1" fontId="5" fillId="0" borderId="0" xfId="0" applyNumberFormat="1" applyFont="1" applyBorder="1"/>
    <xf numFmtId="37" fontId="4" fillId="0" borderId="16" xfId="31" applyNumberFormat="1" applyFont="1" applyFill="1" applyBorder="1"/>
    <xf numFmtId="37" fontId="11" fillId="0" borderId="0" xfId="31" applyNumberFormat="1" applyFont="1" applyFill="1"/>
    <xf numFmtId="0" fontId="8" fillId="0" borderId="0" xfId="0" applyNumberFormat="1" applyFont="1"/>
    <xf numFmtId="17" fontId="8" fillId="0" borderId="0" xfId="0" applyNumberFormat="1" applyFont="1" applyAlignment="1">
      <alignment horizontal="left"/>
    </xf>
    <xf numFmtId="165" fontId="2" fillId="0" borderId="16" xfId="0" applyNumberFormat="1" applyFont="1" applyFill="1" applyBorder="1"/>
    <xf numFmtId="3" fontId="8" fillId="0" borderId="0" xfId="0" applyNumberFormat="1" applyFont="1" applyFill="1"/>
    <xf numFmtId="0" fontId="8" fillId="0" borderId="0" xfId="0" applyFont="1"/>
    <xf numFmtId="1" fontId="6" fillId="0" borderId="15" xfId="0" applyNumberFormat="1" applyFont="1" applyFill="1" applyBorder="1"/>
    <xf numFmtId="3" fontId="5" fillId="0" borderId="0" xfId="0" applyNumberFormat="1" applyFont="1" applyFill="1"/>
    <xf numFmtId="3" fontId="5" fillId="19" borderId="0" xfId="0" applyNumberFormat="1" applyFont="1" applyFill="1"/>
    <xf numFmtId="0" fontId="5" fillId="0" borderId="0" xfId="0" applyFont="1" applyFill="1" applyBorder="1"/>
    <xf numFmtId="3" fontId="11" fillId="0" borderId="0" xfId="0" applyNumberFormat="1" applyFont="1" applyFill="1" applyBorder="1"/>
    <xf numFmtId="3" fontId="11" fillId="0" borderId="0" xfId="0" applyNumberFormat="1" applyFont="1"/>
    <xf numFmtId="0" fontId="5" fillId="0" borderId="0" xfId="0" applyFont="1" applyFill="1"/>
    <xf numFmtId="3" fontId="11" fillId="0" borderId="0" xfId="0" applyNumberFormat="1" applyFont="1" applyFill="1"/>
    <xf numFmtId="0" fontId="23" fillId="0" borderId="0" xfId="0" applyFont="1"/>
    <xf numFmtId="3" fontId="2" fillId="0" borderId="0" xfId="0" applyNumberFormat="1" applyFont="1" applyFill="1"/>
    <xf numFmtId="3" fontId="6" fillId="19" borderId="18" xfId="0" applyNumberFormat="1" applyFont="1" applyFill="1" applyBorder="1"/>
    <xf numFmtId="3" fontId="2" fillId="0" borderId="0" xfId="0" applyNumberFormat="1" applyFont="1"/>
    <xf numFmtId="3" fontId="6" fillId="19" borderId="0" xfId="31" applyNumberFormat="1" applyFont="1" applyFill="1"/>
    <xf numFmtId="3" fontId="4" fillId="19" borderId="18" xfId="0" applyNumberFormat="1" applyFont="1" applyFill="1" applyBorder="1"/>
    <xf numFmtId="3" fontId="4" fillId="19" borderId="0" xfId="0" applyNumberFormat="1" applyFont="1" applyFill="1"/>
    <xf numFmtId="3" fontId="4" fillId="19" borderId="0" xfId="31" applyNumberFormat="1" applyFont="1" applyFill="1"/>
    <xf numFmtId="0" fontId="1" fillId="0" borderId="0" xfId="0" applyNumberFormat="1" applyFont="1" applyFill="1"/>
    <xf numFmtId="0" fontId="19" fillId="0" borderId="0" xfId="0" applyFont="1" applyAlignment="1">
      <alignment horizontal="center"/>
    </xf>
    <xf numFmtId="0" fontId="12" fillId="0" borderId="0" xfId="0" applyFont="1" applyBorder="1"/>
    <xf numFmtId="3" fontId="6" fillId="0" borderId="0" xfId="0" applyNumberFormat="1" applyFont="1" applyBorder="1" applyAlignment="1" applyProtection="1">
      <alignment horizontal="right"/>
    </xf>
    <xf numFmtId="3" fontId="6" fillId="0" borderId="0" xfId="0" applyNumberFormat="1" applyFont="1" applyBorder="1" applyAlignment="1">
      <alignment horizontal="right"/>
    </xf>
    <xf numFmtId="1" fontId="6" fillId="20" borderId="14" xfId="0" applyNumberFormat="1" applyFont="1" applyFill="1" applyBorder="1"/>
    <xf numFmtId="39" fontId="4" fillId="0" borderId="0" xfId="0" applyNumberFormat="1" applyFont="1" applyFill="1"/>
    <xf numFmtId="4" fontId="4" fillId="20" borderId="0" xfId="0" applyNumberFormat="1" applyFont="1" applyFill="1"/>
    <xf numFmtId="0" fontId="7" fillId="0" borderId="0" xfId="0" applyNumberFormat="1" applyFont="1" applyAlignment="1"/>
    <xf numFmtId="0" fontId="12" fillId="0" borderId="0" xfId="0" applyFont="1" applyAlignment="1"/>
    <xf numFmtId="0" fontId="12" fillId="0" borderId="0" xfId="0" applyFont="1" applyBorder="1" applyAlignment="1"/>
    <xf numFmtId="3" fontId="4" fillId="0" borderId="32" xfId="0" applyNumberFormat="1" applyFont="1" applyFill="1" applyBorder="1"/>
    <xf numFmtId="43" fontId="0" fillId="0" borderId="0" xfId="31" applyFont="1"/>
    <xf numFmtId="0" fontId="19" fillId="0" borderId="0" xfId="0" quotePrefix="1" applyFont="1" applyAlignment="1">
      <alignment horizontal="left"/>
    </xf>
    <xf numFmtId="43" fontId="19" fillId="0" borderId="0" xfId="31" applyFont="1"/>
    <xf numFmtId="43" fontId="0" fillId="0" borderId="18" xfId="31" applyFont="1" applyBorder="1"/>
    <xf numFmtId="43" fontId="0" fillId="0" borderId="36" xfId="31" applyFont="1" applyBorder="1"/>
    <xf numFmtId="17" fontId="6" fillId="0" borderId="0" xfId="0" quotePrefix="1" applyNumberFormat="1" applyFont="1" applyAlignment="1">
      <alignment horizontal="center"/>
    </xf>
    <xf numFmtId="39" fontId="4" fillId="0" borderId="0" xfId="0" applyNumberFormat="1" applyFont="1" applyAlignment="1">
      <alignment horizontal="right"/>
    </xf>
    <xf numFmtId="4" fontId="12" fillId="20" borderId="0" xfId="0" applyNumberFormat="1" applyFont="1" applyFill="1"/>
    <xf numFmtId="39" fontId="4" fillId="0" borderId="0" xfId="0" applyNumberFormat="1" applyFont="1" applyFill="1" applyAlignment="1">
      <alignment horizontal="right"/>
    </xf>
    <xf numFmtId="3" fontId="11" fillId="19" borderId="0" xfId="0" applyNumberFormat="1" applyFont="1" applyFill="1"/>
    <xf numFmtId="3" fontId="6" fillId="20" borderId="0" xfId="0" applyNumberFormat="1" applyFont="1" applyFill="1"/>
    <xf numFmtId="1" fontId="0" fillId="0" borderId="0" xfId="31" applyNumberFormat="1" applyFont="1"/>
    <xf numFmtId="17" fontId="0" fillId="0" borderId="0" xfId="0" quotePrefix="1" applyNumberFormat="1" applyAlignment="1">
      <alignment horizontal="left"/>
    </xf>
    <xf numFmtId="39" fontId="12" fillId="0" borderId="0" xfId="0" applyNumberFormat="1" applyFont="1"/>
    <xf numFmtId="39" fontId="0" fillId="0" borderId="0" xfId="0" applyNumberFormat="1" applyBorder="1"/>
    <xf numFmtId="39" fontId="0" fillId="0" borderId="0" xfId="0" applyNumberFormat="1" applyFill="1"/>
    <xf numFmtId="0" fontId="49" fillId="0" borderId="0" xfId="0" applyFont="1"/>
    <xf numFmtId="1" fontId="6" fillId="20" borderId="0" xfId="0" applyNumberFormat="1" applyFont="1" applyFill="1" applyBorder="1"/>
    <xf numFmtId="3" fontId="6" fillId="0" borderId="0" xfId="0" applyNumberFormat="1" applyFont="1" applyAlignment="1" applyProtection="1"/>
    <xf numFmtId="0" fontId="2" fillId="0" borderId="0" xfId="0" applyFont="1" applyBorder="1"/>
    <xf numFmtId="0" fontId="2" fillId="0" borderId="0" xfId="0" quotePrefix="1" applyNumberFormat="1" applyFont="1" applyAlignment="1">
      <alignment horizontal="left"/>
    </xf>
    <xf numFmtId="0" fontId="2" fillId="0" borderId="0" xfId="0" applyFont="1"/>
    <xf numFmtId="3" fontId="4" fillId="0" borderId="0" xfId="0" applyNumberFormat="1" applyFont="1" applyAlignment="1" applyProtection="1">
      <alignment horizontal="left"/>
    </xf>
    <xf numFmtId="0" fontId="2" fillId="0" borderId="0" xfId="0" applyNumberFormat="1" applyFont="1" applyAlignment="1">
      <alignment horizontal="left"/>
    </xf>
    <xf numFmtId="0" fontId="2" fillId="0" borderId="21" xfId="0" applyFont="1" applyBorder="1"/>
    <xf numFmtId="0" fontId="2" fillId="0" borderId="0" xfId="0" applyFont="1" applyAlignment="1" applyProtection="1">
      <alignment horizontal="left"/>
    </xf>
    <xf numFmtId="0" fontId="2" fillId="0" borderId="14" xfId="0" applyFont="1" applyBorder="1"/>
    <xf numFmtId="0" fontId="50" fillId="19" borderId="0" xfId="0" applyFont="1" applyFill="1" applyAlignment="1" applyProtection="1">
      <alignment horizontal="left"/>
      <protection locked="0"/>
    </xf>
    <xf numFmtId="0" fontId="50" fillId="24" borderId="0" xfId="0" applyFont="1" applyFill="1" applyAlignment="1" applyProtection="1">
      <alignment horizontal="left"/>
      <protection locked="0"/>
    </xf>
    <xf numFmtId="0" fontId="50" fillId="19" borderId="0" xfId="0" applyFont="1" applyFill="1" applyProtection="1">
      <protection locked="0"/>
    </xf>
    <xf numFmtId="181" fontId="51" fillId="19" borderId="0" xfId="31" applyNumberFormat="1" applyFont="1" applyFill="1" applyProtection="1">
      <protection locked="0"/>
    </xf>
    <xf numFmtId="0" fontId="50" fillId="0" borderId="0" xfId="0" applyFont="1" applyProtection="1">
      <protection locked="0"/>
    </xf>
    <xf numFmtId="0" fontId="52" fillId="24" borderId="0" xfId="0" applyFont="1" applyFill="1" applyAlignment="1" applyProtection="1">
      <alignment horizontal="left"/>
      <protection locked="0"/>
    </xf>
    <xf numFmtId="0" fontId="51" fillId="19" borderId="0" xfId="0" applyFont="1" applyFill="1" applyProtection="1">
      <protection locked="0"/>
    </xf>
    <xf numFmtId="182" fontId="51" fillId="19" borderId="0" xfId="31" applyNumberFormat="1" applyFont="1" applyFill="1" applyProtection="1">
      <protection locked="0"/>
    </xf>
    <xf numFmtId="0" fontId="51" fillId="0" borderId="0" xfId="0" applyFont="1" applyProtection="1">
      <protection locked="0"/>
    </xf>
    <xf numFmtId="0" fontId="52" fillId="26" borderId="0" xfId="0" applyFont="1" applyFill="1" applyAlignment="1" applyProtection="1">
      <alignment horizontal="left"/>
      <protection locked="0"/>
    </xf>
    <xf numFmtId="43" fontId="50" fillId="19" borderId="0" xfId="31" applyNumberFormat="1" applyFont="1" applyFill="1" applyProtection="1">
      <protection locked="0"/>
    </xf>
    <xf numFmtId="171" fontId="4" fillId="0" borderId="24" xfId="0" quotePrefix="1" applyNumberFormat="1" applyFont="1" applyFill="1" applyBorder="1" applyAlignment="1" applyProtection="1">
      <alignment horizontal="left"/>
      <protection locked="0" hidden="1"/>
    </xf>
    <xf numFmtId="0" fontId="50" fillId="29" borderId="0" xfId="0" applyFont="1" applyFill="1" applyAlignment="1" applyProtection="1">
      <alignment horizontal="left"/>
      <protection locked="0"/>
    </xf>
    <xf numFmtId="0" fontId="53" fillId="0" borderId="0" xfId="0" applyFont="1" applyFill="1" applyProtection="1">
      <protection locked="0"/>
    </xf>
    <xf numFmtId="43" fontId="50" fillId="29" borderId="0" xfId="31" applyNumberFormat="1" applyFont="1" applyFill="1" applyProtection="1">
      <protection locked="0"/>
    </xf>
    <xf numFmtId="43" fontId="52" fillId="21" borderId="18" xfId="0" applyNumberFormat="1" applyFont="1" applyFill="1" applyBorder="1" applyProtection="1">
      <protection locked="0"/>
    </xf>
    <xf numFmtId="43" fontId="52" fillId="0" borderId="0" xfId="0" applyNumberFormat="1" applyFont="1" applyFill="1" applyProtection="1">
      <protection locked="0"/>
    </xf>
    <xf numFmtId="0" fontId="52" fillId="0" borderId="0" xfId="0" applyFont="1" applyFill="1" applyProtection="1">
      <protection locked="0"/>
    </xf>
    <xf numFmtId="182" fontId="50" fillId="0" borderId="0" xfId="0" applyNumberFormat="1" applyFont="1" applyFill="1" applyAlignment="1" applyProtection="1">
      <alignment horizontal="right"/>
      <protection locked="0"/>
    </xf>
    <xf numFmtId="0" fontId="50" fillId="0" borderId="0" xfId="0" applyFont="1" applyFill="1" applyAlignment="1" applyProtection="1">
      <alignment horizontal="left"/>
      <protection locked="0"/>
    </xf>
    <xf numFmtId="0" fontId="50" fillId="0" borderId="0" xfId="0" applyFont="1" applyFill="1" applyProtection="1">
      <protection locked="0"/>
    </xf>
    <xf numFmtId="43" fontId="50" fillId="0" borderId="0" xfId="31" applyFont="1" applyFill="1" applyProtection="1">
      <protection locked="0"/>
    </xf>
    <xf numFmtId="40" fontId="6" fillId="0" borderId="0" xfId="0" applyNumberFormat="1" applyFont="1" applyBorder="1"/>
    <xf numFmtId="40" fontId="12" fillId="0" borderId="0" xfId="31" applyNumberFormat="1" applyFont="1" applyFill="1" applyBorder="1"/>
    <xf numFmtId="40" fontId="12" fillId="0" borderId="0" xfId="31" applyNumberFormat="1" applyFont="1" applyFill="1"/>
    <xf numFmtId="183" fontId="4" fillId="0" borderId="0" xfId="0" applyNumberFormat="1" applyFont="1" applyFill="1"/>
    <xf numFmtId="1" fontId="2" fillId="0" borderId="0" xfId="0" applyNumberFormat="1" applyFont="1" applyBorder="1"/>
    <xf numFmtId="0" fontId="0" fillId="0" borderId="0" xfId="0" applyNumberFormat="1" applyAlignment="1">
      <alignment horizontal="left"/>
    </xf>
    <xf numFmtId="0" fontId="0" fillId="20" borderId="37" xfId="0" applyFill="1" applyBorder="1"/>
    <xf numFmtId="0" fontId="0" fillId="20" borderId="38" xfId="0" applyFill="1" applyBorder="1"/>
    <xf numFmtId="0" fontId="0" fillId="20" borderId="37" xfId="0" applyNumberFormat="1" applyFill="1" applyBorder="1" applyAlignment="1">
      <alignment horizontal="left"/>
    </xf>
    <xf numFmtId="0" fontId="0" fillId="20" borderId="24" xfId="0" applyFill="1" applyBorder="1"/>
    <xf numFmtId="0" fontId="0" fillId="20" borderId="26" xfId="0" applyFill="1" applyBorder="1"/>
    <xf numFmtId="0" fontId="4" fillId="19" borderId="39" xfId="0" applyFont="1" applyFill="1" applyBorder="1"/>
    <xf numFmtId="0" fontId="0" fillId="19" borderId="40" xfId="0" applyFill="1" applyBorder="1"/>
    <xf numFmtId="0" fontId="2" fillId="19" borderId="40" xfId="31" quotePrefix="1" applyNumberFormat="1" applyFont="1" applyFill="1" applyBorder="1" applyAlignment="1">
      <alignment horizontal="left"/>
    </xf>
    <xf numFmtId="167" fontId="2" fillId="19" borderId="41" xfId="31" applyNumberFormat="1" applyFont="1" applyFill="1" applyBorder="1" applyAlignment="1"/>
    <xf numFmtId="0" fontId="0" fillId="24" borderId="42" xfId="0" applyFill="1" applyBorder="1"/>
    <xf numFmtId="0" fontId="0" fillId="24" borderId="43" xfId="0" applyFill="1" applyBorder="1"/>
    <xf numFmtId="43" fontId="2" fillId="19" borderId="40" xfId="31" applyFill="1" applyBorder="1" applyAlignment="1">
      <alignment horizontal="left"/>
    </xf>
    <xf numFmtId="167" fontId="2" fillId="19" borderId="43" xfId="31" applyNumberFormat="1" applyFont="1" applyFill="1" applyBorder="1" applyAlignment="1"/>
    <xf numFmtId="0" fontId="0" fillId="27" borderId="42" xfId="0" applyFill="1" applyBorder="1"/>
    <xf numFmtId="0" fontId="0" fillId="27" borderId="42" xfId="0" applyFill="1" applyBorder="1" applyAlignment="1">
      <alignment horizontal="right"/>
    </xf>
    <xf numFmtId="0" fontId="0" fillId="19" borderId="42" xfId="0" applyFill="1" applyBorder="1"/>
    <xf numFmtId="0" fontId="0" fillId="19" borderId="6" xfId="0" applyFill="1" applyBorder="1"/>
    <xf numFmtId="0" fontId="2" fillId="19" borderId="6" xfId="31" quotePrefix="1" applyNumberFormat="1" applyFont="1" applyFill="1" applyBorder="1" applyAlignment="1">
      <alignment horizontal="left"/>
    </xf>
    <xf numFmtId="43" fontId="2" fillId="19" borderId="6" xfId="31" applyFill="1" applyBorder="1" applyAlignment="1">
      <alignment horizontal="left"/>
    </xf>
    <xf numFmtId="0" fontId="0" fillId="27" borderId="42" xfId="0" quotePrefix="1" applyFill="1" applyBorder="1" applyAlignment="1">
      <alignment horizontal="right"/>
    </xf>
    <xf numFmtId="0" fontId="5" fillId="27" borderId="42" xfId="0" applyFont="1" applyFill="1" applyBorder="1"/>
    <xf numFmtId="0" fontId="5" fillId="27" borderId="43" xfId="0" applyFont="1" applyFill="1" applyBorder="1"/>
    <xf numFmtId="0" fontId="0" fillId="27" borderId="43" xfId="0" applyFill="1" applyBorder="1"/>
    <xf numFmtId="0" fontId="0" fillId="19" borderId="6" xfId="0" quotePrefix="1" applyFill="1" applyBorder="1" applyAlignment="1">
      <alignment horizontal="left"/>
    </xf>
    <xf numFmtId="0" fontId="0" fillId="27" borderId="43" xfId="0" quotePrefix="1" applyFill="1" applyBorder="1" applyAlignment="1">
      <alignment horizontal="right"/>
    </xf>
    <xf numFmtId="167" fontId="2" fillId="19" borderId="43" xfId="31" quotePrefix="1" applyNumberFormat="1" applyFont="1" applyFill="1" applyBorder="1" applyAlignment="1">
      <alignment horizontal="left"/>
    </xf>
    <xf numFmtId="0" fontId="0" fillId="27" borderId="43" xfId="0" applyFill="1" applyBorder="1" applyAlignment="1">
      <alignment horizontal="right"/>
    </xf>
    <xf numFmtId="0" fontId="0" fillId="27" borderId="42" xfId="0" quotePrefix="1" applyFill="1" applyBorder="1"/>
    <xf numFmtId="0" fontId="0" fillId="24" borderId="6" xfId="0" quotePrefix="1" applyFill="1" applyBorder="1"/>
    <xf numFmtId="0" fontId="0" fillId="27" borderId="42" xfId="0" quotePrefix="1" applyFill="1" applyBorder="1" applyAlignment="1">
      <alignment horizontal="left"/>
    </xf>
    <xf numFmtId="43" fontId="2" fillId="19" borderId="6" xfId="31" quotePrefix="1" applyFont="1" applyFill="1" applyBorder="1" applyAlignment="1">
      <alignment horizontal="left"/>
    </xf>
    <xf numFmtId="167" fontId="2" fillId="19" borderId="43" xfId="31" quotePrefix="1" applyNumberFormat="1" applyFont="1" applyFill="1" applyBorder="1" applyAlignment="1"/>
    <xf numFmtId="167" fontId="2" fillId="19" borderId="6" xfId="31" applyNumberFormat="1" applyFont="1" applyFill="1" applyBorder="1"/>
    <xf numFmtId="0" fontId="0" fillId="27" borderId="0" xfId="0" applyFill="1" applyBorder="1"/>
    <xf numFmtId="0" fontId="2" fillId="19" borderId="6" xfId="31" applyNumberFormat="1" applyFill="1" applyBorder="1" applyAlignment="1">
      <alignment horizontal="left"/>
    </xf>
    <xf numFmtId="167" fontId="2" fillId="19" borderId="6" xfId="31" quotePrefix="1" applyNumberFormat="1" applyFont="1" applyFill="1" applyBorder="1" applyAlignment="1">
      <alignment horizontal="left"/>
    </xf>
    <xf numFmtId="0" fontId="2" fillId="19" borderId="43" xfId="0" applyFont="1" applyFill="1" applyBorder="1" applyAlignment="1"/>
    <xf numFmtId="167" fontId="2" fillId="19" borderId="43" xfId="31" applyNumberFormat="1" applyFont="1" applyFill="1" applyBorder="1" applyAlignment="1">
      <alignment horizontal="left"/>
    </xf>
    <xf numFmtId="0" fontId="2" fillId="19" borderId="6" xfId="31" applyNumberFormat="1" applyFont="1" applyFill="1" applyBorder="1" applyAlignment="1">
      <alignment horizontal="left"/>
    </xf>
    <xf numFmtId="0" fontId="4" fillId="19" borderId="42" xfId="0" applyFont="1" applyFill="1" applyBorder="1"/>
    <xf numFmtId="0" fontId="4" fillId="19" borderId="6" xfId="0" applyFont="1" applyFill="1" applyBorder="1"/>
    <xf numFmtId="0" fontId="4" fillId="19" borderId="6" xfId="31" quotePrefix="1" applyNumberFormat="1" applyFont="1" applyFill="1" applyBorder="1" applyAlignment="1">
      <alignment horizontal="left"/>
    </xf>
    <xf numFmtId="167" fontId="4" fillId="19" borderId="43" xfId="31" applyNumberFormat="1" applyFont="1" applyFill="1" applyBorder="1"/>
    <xf numFmtId="43" fontId="2" fillId="19" borderId="6" xfId="31" applyFont="1" applyFill="1" applyBorder="1" applyAlignment="1">
      <alignment horizontal="left"/>
    </xf>
    <xf numFmtId="43" fontId="4" fillId="19" borderId="6" xfId="31" quotePrefix="1" applyFont="1" applyFill="1" applyBorder="1" applyAlignment="1">
      <alignment horizontal="left"/>
    </xf>
    <xf numFmtId="167" fontId="4" fillId="19" borderId="43" xfId="31" quotePrefix="1" applyNumberFormat="1" applyFont="1" applyFill="1" applyBorder="1" applyAlignment="1">
      <alignment horizontal="left"/>
    </xf>
    <xf numFmtId="0" fontId="4" fillId="19" borderId="6" xfId="31" applyNumberFormat="1" applyFont="1" applyFill="1" applyBorder="1" applyAlignment="1">
      <alignment horizontal="left"/>
    </xf>
    <xf numFmtId="43" fontId="4" fillId="19" borderId="6" xfId="31" applyFont="1" applyFill="1" applyBorder="1" applyAlignment="1">
      <alignment horizontal="left"/>
    </xf>
    <xf numFmtId="0" fontId="4" fillId="19" borderId="44" xfId="0" applyFont="1" applyFill="1" applyBorder="1"/>
    <xf numFmtId="0" fontId="4" fillId="19" borderId="45" xfId="0" applyFont="1" applyFill="1" applyBorder="1"/>
    <xf numFmtId="0" fontId="4" fillId="19" borderId="45" xfId="0" applyNumberFormat="1" applyFont="1" applyFill="1" applyBorder="1" applyAlignment="1">
      <alignment horizontal="left"/>
    </xf>
    <xf numFmtId="0" fontId="4" fillId="19" borderId="46" xfId="0" applyFont="1" applyFill="1" applyBorder="1"/>
    <xf numFmtId="0" fontId="0" fillId="0" borderId="0" xfId="0" quotePrefix="1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28" borderId="0" xfId="0" applyFill="1"/>
    <xf numFmtId="0" fontId="0" fillId="28" borderId="0" xfId="0" applyNumberFormat="1" applyFill="1" applyAlignment="1">
      <alignment horizontal="left"/>
    </xf>
    <xf numFmtId="0" fontId="50" fillId="21" borderId="0" xfId="0" applyFont="1" applyFill="1" applyAlignment="1" applyProtection="1">
      <alignment horizontal="left"/>
    </xf>
    <xf numFmtId="3" fontId="0" fillId="30" borderId="0" xfId="0" applyNumberFormat="1" applyFill="1"/>
    <xf numFmtId="167" fontId="0" fillId="0" borderId="0" xfId="31" applyNumberFormat="1" applyFont="1"/>
    <xf numFmtId="1" fontId="6" fillId="30" borderId="0" xfId="0" applyNumberFormat="1" applyFont="1" applyFill="1"/>
    <xf numFmtId="184" fontId="0" fillId="0" borderId="0" xfId="0" applyNumberFormat="1"/>
    <xf numFmtId="168" fontId="54" fillId="0" borderId="0" xfId="0" applyNumberFormat="1" applyFont="1"/>
    <xf numFmtId="168" fontId="2" fillId="0" borderId="0" xfId="0" applyNumberFormat="1" applyFont="1"/>
    <xf numFmtId="168" fontId="54" fillId="0" borderId="0" xfId="0" applyNumberFormat="1" applyFont="1" applyAlignment="1">
      <alignment horizontal="center"/>
    </xf>
    <xf numFmtId="1" fontId="54" fillId="0" borderId="0" xfId="0" applyNumberFormat="1" applyFont="1"/>
    <xf numFmtId="1" fontId="54" fillId="0" borderId="18" xfId="0" applyNumberFormat="1" applyFont="1" applyBorder="1"/>
    <xf numFmtId="3" fontId="0" fillId="31" borderId="0" xfId="0" applyNumberFormat="1" applyFill="1"/>
    <xf numFmtId="0" fontId="2" fillId="0" borderId="0" xfId="0" quotePrefix="1" applyFont="1"/>
    <xf numFmtId="0" fontId="1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22" xfId="0" applyFont="1" applyBorder="1"/>
    <xf numFmtId="0" fontId="2" fillId="0" borderId="23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" fontId="2" fillId="0" borderId="14" xfId="0" applyNumberFormat="1" applyFont="1" applyFill="1" applyBorder="1"/>
    <xf numFmtId="1" fontId="2" fillId="0" borderId="0" xfId="0" applyNumberFormat="1" applyFont="1" applyFill="1" applyBorder="1"/>
    <xf numFmtId="1" fontId="2" fillId="0" borderId="13" xfId="0" applyNumberFormat="1" applyFont="1" applyFill="1" applyBorder="1"/>
    <xf numFmtId="1" fontId="2" fillId="0" borderId="14" xfId="0" applyNumberFormat="1" applyFont="1" applyBorder="1"/>
    <xf numFmtId="1" fontId="2" fillId="0" borderId="13" xfId="0" applyNumberFormat="1" applyFont="1" applyBorder="1"/>
    <xf numFmtId="1" fontId="2" fillId="20" borderId="0" xfId="0" applyNumberFormat="1" applyFont="1" applyFill="1" applyBorder="1"/>
    <xf numFmtId="1" fontId="2" fillId="0" borderId="0" xfId="0" applyNumberFormat="1" applyFont="1" applyFill="1"/>
    <xf numFmtId="1" fontId="2" fillId="0" borderId="15" xfId="0" applyNumberFormat="1" applyFont="1" applyFill="1" applyBorder="1"/>
    <xf numFmtId="1" fontId="2" fillId="0" borderId="16" xfId="0" applyNumberFormat="1" applyFont="1" applyBorder="1"/>
    <xf numFmtId="1" fontId="2" fillId="0" borderId="17" xfId="0" applyNumberFormat="1" applyFont="1" applyBorder="1"/>
    <xf numFmtId="1" fontId="2" fillId="0" borderId="15" xfId="0" applyNumberFormat="1" applyFont="1" applyBorder="1"/>
    <xf numFmtId="1" fontId="2" fillId="0" borderId="0" xfId="31" applyNumberFormat="1" applyFont="1" applyFill="1" applyBorder="1"/>
    <xf numFmtId="1" fontId="2" fillId="0" borderId="19" xfId="0" applyNumberFormat="1" applyFont="1" applyBorder="1"/>
    <xf numFmtId="1" fontId="2" fillId="0" borderId="12" xfId="0" applyNumberFormat="1" applyFont="1" applyBorder="1"/>
    <xf numFmtId="1" fontId="2" fillId="0" borderId="20" xfId="0" applyNumberFormat="1" applyFont="1" applyBorder="1"/>
    <xf numFmtId="1" fontId="2" fillId="0" borderId="0" xfId="0" applyNumberFormat="1" applyFont="1"/>
    <xf numFmtId="4" fontId="4" fillId="0" borderId="0" xfId="31" applyNumberFormat="1" applyFont="1" applyFill="1"/>
    <xf numFmtId="3" fontId="0" fillId="0" borderId="0" xfId="1" applyNumberFormat="1" applyFont="1" applyFill="1"/>
    <xf numFmtId="1" fontId="2" fillId="30" borderId="0" xfId="0" applyNumberFormat="1" applyFont="1" applyFill="1"/>
    <xf numFmtId="3" fontId="6" fillId="29" borderId="0" xfId="0" applyNumberFormat="1" applyFont="1" applyFill="1"/>
    <xf numFmtId="0" fontId="0" fillId="29" borderId="0" xfId="0" applyFill="1"/>
    <xf numFmtId="3" fontId="0" fillId="29" borderId="0" xfId="0" applyNumberFormat="1" applyFill="1"/>
    <xf numFmtId="15" fontId="1" fillId="0" borderId="0" xfId="0" quotePrefix="1" applyNumberFormat="1" applyFont="1" applyAlignment="1">
      <alignment horizontal="centerContinuous"/>
    </xf>
    <xf numFmtId="0" fontId="1" fillId="0" borderId="35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37" fontId="1" fillId="0" borderId="0" xfId="0" applyNumberFormat="1" applyFont="1" applyFill="1"/>
    <xf numFmtId="37" fontId="1" fillId="0" borderId="12" xfId="0" applyNumberFormat="1" applyFont="1" applyFill="1" applyBorder="1"/>
    <xf numFmtId="37" fontId="1" fillId="0" borderId="0" xfId="0" applyNumberFormat="1" applyFont="1" applyFill="1" applyBorder="1"/>
    <xf numFmtId="37" fontId="1" fillId="0" borderId="32" xfId="0" applyNumberFormat="1" applyFont="1" applyFill="1" applyBorder="1"/>
    <xf numFmtId="3" fontId="1" fillId="0" borderId="0" xfId="0" applyNumberFormat="1" applyFont="1" applyFill="1"/>
    <xf numFmtId="43" fontId="4" fillId="0" borderId="0" xfId="0" applyNumberFormat="1" applyFont="1"/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0" xfId="0" applyNumberFormat="1" applyFont="1" applyFill="1" applyBorder="1"/>
    <xf numFmtId="3" fontId="1" fillId="0" borderId="0" xfId="0" applyNumberFormat="1" applyFont="1"/>
    <xf numFmtId="3" fontId="1" fillId="0" borderId="0" xfId="0" applyNumberFormat="1" applyFont="1" applyBorder="1"/>
    <xf numFmtId="3" fontId="1" fillId="0" borderId="16" xfId="0" applyNumberFormat="1" applyFont="1" applyBorder="1"/>
    <xf numFmtId="3" fontId="1" fillId="0" borderId="12" xfId="0" applyNumberFormat="1" applyFont="1" applyBorder="1"/>
    <xf numFmtId="3" fontId="1" fillId="0" borderId="8" xfId="0" applyNumberFormat="1" applyFont="1" applyBorder="1"/>
    <xf numFmtId="3" fontId="1" fillId="0" borderId="16" xfId="0" applyNumberFormat="1" applyFont="1" applyFill="1" applyBorder="1"/>
    <xf numFmtId="3" fontId="1" fillId="0" borderId="32" xfId="0" applyNumberFormat="1" applyFont="1" applyFill="1" applyBorder="1"/>
    <xf numFmtId="0" fontId="19" fillId="0" borderId="0" xfId="0" applyFont="1" applyAlignment="1">
      <alignment horizontal="center"/>
    </xf>
    <xf numFmtId="0" fontId="19" fillId="0" borderId="0" xfId="0" quotePrefix="1" applyFont="1" applyAlignment="1">
      <alignment horizontal="center"/>
    </xf>
  </cellXfs>
  <cellStyles count="65">
    <cellStyle name="%" xfId="1"/>
    <cellStyle name="??&amp;O?&amp;H?_x0008_??_x0007__x0001__x0001_" xfId="2"/>
    <cellStyle name="20% - Accent1" xfId="3" builtinId="30" customBuiltin="1"/>
    <cellStyle name="20% - Accent2" xfId="4" builtinId="34" customBuiltin="1"/>
    <cellStyle name="20% - Accent3" xfId="5" builtinId="38" customBuiltin="1"/>
    <cellStyle name="20% - Accent4" xfId="6" builtinId="42" customBuiltin="1"/>
    <cellStyle name="20% - Accent5" xfId="7" builtinId="46" customBuiltin="1"/>
    <cellStyle name="20% - Accent6" xfId="8" builtinId="50" customBuiltin="1"/>
    <cellStyle name="40% - Accent1" xfId="9" builtinId="31" customBuiltin="1"/>
    <cellStyle name="40% - Accent2" xfId="10" builtinId="35" customBuiltin="1"/>
    <cellStyle name="40% - Accent3" xfId="11" builtinId="39" customBuiltin="1"/>
    <cellStyle name="40% - Accent4" xfId="12" builtinId="43" customBuiltin="1"/>
    <cellStyle name="40% - Accent5" xfId="13" builtinId="47" customBuiltin="1"/>
    <cellStyle name="40% - Accent6" xfId="14" builtinId="51" customBuiltin="1"/>
    <cellStyle name="60% - Accent1" xfId="15" builtinId="32" customBuiltin="1"/>
    <cellStyle name="60% - Accent2" xfId="16" builtinId="36" customBuiltin="1"/>
    <cellStyle name="60% - Accent3" xfId="17" builtinId="40" customBuiltin="1"/>
    <cellStyle name="60% - Accent4" xfId="18" builtinId="44" customBuiltin="1"/>
    <cellStyle name="60% - Accent5" xfId="19" builtinId="48" customBuiltin="1"/>
    <cellStyle name="60% - Accent6" xfId="20" builtinId="52" customBuiltin="1"/>
    <cellStyle name="Accent1" xfId="21" builtinId="29" customBuiltin="1"/>
    <cellStyle name="Accent2" xfId="22" builtinId="33" customBuiltin="1"/>
    <cellStyle name="Accent3" xfId="23" builtinId="37" customBuiltin="1"/>
    <cellStyle name="Accent4" xfId="24" builtinId="41" customBuiltin="1"/>
    <cellStyle name="Accent5" xfId="25" builtinId="45" customBuiltin="1"/>
    <cellStyle name="Accent6" xfId="26" builtinId="49" customBuiltin="1"/>
    <cellStyle name="Bad" xfId="27" builtinId="27" customBuiltin="1"/>
    <cellStyle name="Calculation" xfId="28" builtinId="22" customBuiltin="1"/>
    <cellStyle name="category" xfId="29"/>
    <cellStyle name="Check Cell" xfId="30" builtinId="23" customBuiltin="1"/>
    <cellStyle name="Comma" xfId="31" builtinId="3"/>
    <cellStyle name="Euro" xfId="32"/>
    <cellStyle name="Explanatory Text" xfId="33" builtinId="53" customBuiltin="1"/>
    <cellStyle name="Good" xfId="34" builtinId="26" customBuiltin="1"/>
    <cellStyle name="Grey" xfId="35"/>
    <cellStyle name="HEADER" xfId="36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Input" xfId="41" builtinId="20" customBuiltin="1"/>
    <cellStyle name="Input [yellow]" xfId="42"/>
    <cellStyle name="Linked Cell" xfId="43" builtinId="24" customBuiltin="1"/>
    <cellStyle name="Model" xfId="44"/>
    <cellStyle name="Moeda [0]_Alcanbrasil" xfId="45"/>
    <cellStyle name="Moeda_Alcanbrasil" xfId="46"/>
    <cellStyle name="Neutral" xfId="47" builtinId="28" customBuiltin="1"/>
    <cellStyle name="Normal" xfId="0" builtinId="0"/>
    <cellStyle name="Normal - Style1" xfId="48"/>
    <cellStyle name="Normal 2" xfId="64"/>
    <cellStyle name="Note" xfId="49" builtinId="10" customBuiltin="1"/>
    <cellStyle name="Output" xfId="50" builtinId="21" customBuiltin="1"/>
    <cellStyle name="Percent [2]" xfId="51"/>
    <cellStyle name="Style 1" xfId="52"/>
    <cellStyle name="subhead" xfId="53"/>
    <cellStyle name="Title" xfId="54" builtinId="15" customBuiltin="1"/>
    <cellStyle name="Total" xfId="55" builtinId="25" customBuiltin="1"/>
    <cellStyle name="Valuta (0)_CoAVer25" xfId="56"/>
    <cellStyle name="Valuta_CoAVer25" xfId="57"/>
    <cellStyle name="Warning Text" xfId="58" builtinId="11" customBuiltin="1"/>
    <cellStyle name="쉼표 [0]_Capital Plan &amp; Forecast For Yr2002" xfId="59"/>
    <cellStyle name="쉼표_ATA 2001 plan(rev 1-1)" xfId="60"/>
    <cellStyle name="콤마 [0]_10월2주 " xfId="61"/>
    <cellStyle name="콤마_10월2주 " xfId="62"/>
    <cellStyle name="표준_~5874816" xfId="63"/>
  </cellStyles>
  <dxfs count="19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9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2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externalLink" Target="externalLinks/externalLink15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counts\LIZA\Asset\Disposal_JV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/Oscar/JV/FY11/JV-May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/Oscar/JV/FY11/JV-Jun%20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/Oscar/JV/FY11/JV-July%20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/Oscar/JV/FY11/JV-Aug%20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/Oscar/JV/FY11/JV-Sept%20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/Oscar/JV/FY11/JV-Oct%2020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/Oscar/JV/FY11/JV-Nov%20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/Oscar/JV/FY11/JV-Dec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chong\blchong_c\Account\alcom99\MGT99\RCM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Nov00/Spc2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Treasury/Forex/FX%20rpt_jan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trick/My%20Documents/EXCEL/Ansc/Audit%20&amp;%20Tax/2001/PW-TAX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chong\blchong_c\ACCOUNT\CHONG\PMR\PMR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chong\blchong_c\Account\alcom99\MGT99\F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/patrick/2003%20yr%20end%20account%20&amp;%20taxation/cons03-Dec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/Oscar/JV/FY11/JV-Apr%20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posal-2006-06 (611a)"/>
      <sheetName val="disposal-2006-06 (0611)"/>
      <sheetName val="disposal-2006-4 (0411)"/>
      <sheetName val="disposal-2005-12 (1211C)"/>
      <sheetName val="disposal-2005-12 (1211B) "/>
      <sheetName val="disposal-2005-12 (1211A)"/>
      <sheetName val="disposal-2005-12 (1211)"/>
      <sheetName val="disposal-2005-11 (1111A)"/>
      <sheetName val="disposal-2005-11 (1111)"/>
      <sheetName val="disposal-2005-05 (0511A)"/>
      <sheetName val="disposal-2005-05 (0511)"/>
      <sheetName val="disposal-2005-03 (JV0311B)"/>
      <sheetName val="Adj Jv 2005-03"/>
      <sheetName val="disposal-2005-03"/>
      <sheetName val="disposal-2005-02(Jv0211)"/>
      <sheetName val="disposal-2004-10 a"/>
      <sheetName val="disposal-2004-10"/>
      <sheetName val="disposal-2004-08"/>
      <sheetName val="disposal-2004-07"/>
      <sheetName val="disposal-2004-05"/>
      <sheetName val="disposal-1211"/>
      <sheetName val="disposal-1111A"/>
      <sheetName val="disposal-1111"/>
      <sheetName val="disposal-0911 "/>
      <sheetName val="disposal-0811"/>
      <sheetName val="disposal-2303"/>
      <sheetName val="disposal-2212"/>
      <sheetName val="disposal-2211"/>
      <sheetName val="disposal-22(0911b)"/>
      <sheetName val="disposal-22(0911a)"/>
      <sheetName val="disposal-2208"/>
      <sheetName val="disposal-2207"/>
      <sheetName val="Disposal-2207a"/>
      <sheetName val="Disposal-2112 a"/>
      <sheetName val="Disposal-2112 "/>
      <sheetName val="Disposal-2102"/>
      <sheetName val="Disposal-2101"/>
      <sheetName val="Disposal (dec)"/>
      <sheetName val="Disposal-dec00"/>
      <sheetName val="Disposal-oct00"/>
      <sheetName val="Disposal-may00 (2)"/>
      <sheetName val="Disposal-may00"/>
      <sheetName val="Disposal - apr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  <sheetName val="HAPM"/>
      <sheetName val="Complaint"/>
      <sheetName val="AVE Px"/>
      <sheetName val="NRV"/>
      <sheetName val="Stock Ob"/>
      <sheetName val="Tech fees"/>
      <sheetName val="NRV JV"/>
      <sheetName val="Sheet4"/>
      <sheetName val="Sheet1"/>
      <sheetName val="Sheet3"/>
      <sheetName val="North"/>
      <sheetName val="Adj store"/>
      <sheetName val="PPV-Paint"/>
      <sheetName val="PPV"/>
      <sheetName val="NCA Disp"/>
      <sheetName val="Sheet2"/>
      <sheetName val="Manufacturing exp"/>
      <sheetName val="Insur Rebates"/>
      <sheetName val="Daikin"/>
      <sheetName val="Freight"/>
      <sheetName val="Freight-03A"/>
      <sheetName val="Alcom finstock"/>
      <sheetName val="Not-ship"/>
      <sheetName val="JV-Barefin- Inported"/>
      <sheetName val="Purchases fr China"/>
      <sheetName val="Adj"/>
      <sheetName val="OT"/>
      <sheetName val="deferred tax"/>
      <sheetName val="Prepayment"/>
      <sheetName val="Fixed assets transfer"/>
      <sheetName val="Disposal"/>
      <sheetName val="Dccs"/>
      <sheetName val="Exp-Jason Au"/>
      <sheetName val="Exp-Koyasu"/>
      <sheetName val="Exp-Azlan"/>
      <sheetName val="Exp-CH Teh"/>
      <sheetName val="Exp-KF Cheah"/>
      <sheetName val="Exp-Louie Leong"/>
      <sheetName val="Exp-KH Lee"/>
      <sheetName val="Exp-Eric Chong"/>
      <sheetName val="Exp-Toru Ishii"/>
      <sheetName val="Exp-Mohd Shahrul"/>
      <sheetName val="Exp-Mazuki Musa"/>
      <sheetName val="Exp-clear"/>
      <sheetName val="Store adj"/>
      <sheetName val="Interest"/>
      <sheetName val="Statistic-Barefin Alcom"/>
      <sheetName val="Statistic ARPC"/>
      <sheetName val="Statistic China"/>
      <sheetName val="Statistic Others"/>
      <sheetName val="Purchases statistic"/>
      <sheetName val="Purchases fr ARPC"/>
      <sheetName val="Purchases fr NLM"/>
      <sheetName val="Purchases fr TaihanINDAL"/>
      <sheetName val="Tokio Insurance"/>
      <sheetName val="Statistic  NLM"/>
      <sheetName val="JV-LIST"/>
      <sheetName val="JPY Loan"/>
      <sheetName val="Working-Loan"/>
      <sheetName val="Working-int"/>
      <sheetName val="Fwd Cont &amp; Curr"/>
      <sheetName val="Slitting"/>
      <sheetName val="dividend pay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9">
          <cell r="D29">
            <v>76916</v>
          </cell>
        </row>
        <row r="30">
          <cell r="D30">
            <v>248966</v>
          </cell>
        </row>
        <row r="31">
          <cell r="D31">
            <v>314482</v>
          </cell>
        </row>
        <row r="38">
          <cell r="D38">
            <v>594</v>
          </cell>
        </row>
        <row r="39">
          <cell r="D39">
            <v>6273</v>
          </cell>
        </row>
        <row r="40">
          <cell r="D40">
            <v>29525</v>
          </cell>
        </row>
        <row r="41">
          <cell r="D41">
            <v>11959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  <sheetName val="HAPM"/>
      <sheetName val="Complaint"/>
      <sheetName val="AVE Px"/>
      <sheetName val="NRV"/>
      <sheetName val="Stock Ob"/>
      <sheetName val="Tech fees"/>
      <sheetName val="NRV JV"/>
      <sheetName val="Sheet4"/>
      <sheetName val="Sheet1"/>
      <sheetName val="Sheet3"/>
      <sheetName val="North"/>
      <sheetName val="Adj store"/>
      <sheetName val="PPV-Paint"/>
      <sheetName val="PPV"/>
      <sheetName val="NCA Disp"/>
      <sheetName val="Sheet2"/>
      <sheetName val="Manufacturing exp"/>
      <sheetName val="Insur Rebates"/>
      <sheetName val="Daikin"/>
      <sheetName val="Freight"/>
      <sheetName val="Freight-03A"/>
      <sheetName val="Alcom finstock"/>
      <sheetName val="Not-ship"/>
      <sheetName val="JV-Barefin- Inported"/>
      <sheetName val="Purchases fr China"/>
      <sheetName val="Adj"/>
      <sheetName val="OT"/>
      <sheetName val="deferred tax"/>
      <sheetName val="Prepayment"/>
      <sheetName val="Fixed assets transfer"/>
      <sheetName val="Disposal"/>
      <sheetName val="Dccs"/>
      <sheetName val="Exp-Jason Au"/>
      <sheetName val="Exp-Koyasu"/>
      <sheetName val="Exp-Azlan"/>
      <sheetName val="Exp-CH Teh"/>
      <sheetName val="Exp-KF Cheah"/>
      <sheetName val="Exp-Louie Leong"/>
      <sheetName val="Exp-KH Lee"/>
      <sheetName val="Exp-Eric Chong"/>
      <sheetName val="Exp-Toru Ishii"/>
      <sheetName val="Exp-Mohd Shahrul"/>
      <sheetName val="Exp-Mazuki Musa"/>
      <sheetName val="Exp-clear"/>
      <sheetName val="Store adj"/>
      <sheetName val="Interest"/>
      <sheetName val="Statistic-Barefin Alcom"/>
      <sheetName val="Statistic ARPC"/>
      <sheetName val="Statistic China"/>
      <sheetName val="Statistic Others"/>
      <sheetName val="Purchases statistic"/>
      <sheetName val="Purchases fr ARPC"/>
      <sheetName val="Purchases fr NLM"/>
      <sheetName val="Purchases fr TaihanINDAL"/>
      <sheetName val="Tokio Insurance"/>
      <sheetName val="Statistic  NLM"/>
      <sheetName val="JV-LIST"/>
      <sheetName val="JPY Loan"/>
      <sheetName val="Working-Loan"/>
      <sheetName val="Working-int"/>
      <sheetName val="Fwd Cont &amp; Curr"/>
      <sheetName val="Slitting"/>
      <sheetName val="dividend pay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9">
          <cell r="D29">
            <v>97137</v>
          </cell>
        </row>
        <row r="30">
          <cell r="D30">
            <v>164256</v>
          </cell>
        </row>
        <row r="31">
          <cell r="D31">
            <v>267316</v>
          </cell>
        </row>
        <row r="32">
          <cell r="D32">
            <v>0</v>
          </cell>
        </row>
        <row r="33">
          <cell r="D33">
            <v>745</v>
          </cell>
        </row>
        <row r="40">
          <cell r="D40">
            <v>55408</v>
          </cell>
        </row>
        <row r="41">
          <cell r="D41">
            <v>31405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  <sheetName val="HAPM"/>
      <sheetName val="Complaint"/>
      <sheetName val="AVE Px"/>
      <sheetName val="NRV"/>
      <sheetName val="Stock Ob"/>
      <sheetName val="Tech fees"/>
      <sheetName val="NRV JV"/>
      <sheetName val="Sheet4"/>
      <sheetName val="Sheet1"/>
      <sheetName val="Sheet3"/>
      <sheetName val="North"/>
      <sheetName val="Adj store"/>
      <sheetName val="PPV-Paint"/>
      <sheetName val="PPV"/>
      <sheetName val="NCA Disp"/>
      <sheetName val="Sheet2"/>
      <sheetName val="Manufacturing exp"/>
      <sheetName val="Insur Rebates"/>
      <sheetName val="Daikin"/>
      <sheetName val="Freight"/>
      <sheetName val="Freight-03A"/>
      <sheetName val="Alcom finstock"/>
      <sheetName val="Not-ship"/>
      <sheetName val="JV-Barefin- Inported"/>
      <sheetName val="Purchases fr China"/>
      <sheetName val="Adj"/>
      <sheetName val="OT"/>
      <sheetName val="deferred tax"/>
      <sheetName val="Prepayment"/>
      <sheetName val="Fixed assets transfer"/>
      <sheetName val="Disposal"/>
      <sheetName val="Dccs"/>
      <sheetName val="Exp-Jason Au"/>
      <sheetName val="Exp-Koyasu"/>
      <sheetName val="Exp-Azlan"/>
      <sheetName val="Exp-CH Teh"/>
      <sheetName val="Exp-KF Cheah"/>
      <sheetName val="Exp-Louie Leong"/>
      <sheetName val="Exp-KH Lee"/>
      <sheetName val="Exp-Eric Chong"/>
      <sheetName val="Exp-Toru Ishii"/>
      <sheetName val="Exp-Mohd Shahrul"/>
      <sheetName val="Exp-Mazuki Musa"/>
      <sheetName val="Exp-clear"/>
      <sheetName val="Store adj"/>
      <sheetName val="Interest"/>
      <sheetName val="Statistic-Barefin Alcom"/>
      <sheetName val="Statistic ARPC"/>
      <sheetName val="Statistic China"/>
      <sheetName val="Statistic Others"/>
      <sheetName val="Purchases statistic"/>
      <sheetName val="Purchases fr ARPC"/>
      <sheetName val="Purchases fr NLM"/>
      <sheetName val="Purchases fr TaihanINDAL"/>
      <sheetName val="Tokio Insurance"/>
      <sheetName val="Statistic  NLM"/>
      <sheetName val="JV-LIST"/>
      <sheetName val="JPY Loan"/>
      <sheetName val="Working-Loan"/>
      <sheetName val="Working-int"/>
      <sheetName val="Fwd Cont &amp; Curr"/>
      <sheetName val="Slitting"/>
      <sheetName val="dividend pay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9">
          <cell r="D29">
            <v>78324</v>
          </cell>
        </row>
        <row r="30">
          <cell r="D30">
            <v>195388</v>
          </cell>
        </row>
        <row r="31">
          <cell r="D31">
            <v>424288</v>
          </cell>
        </row>
        <row r="32">
          <cell r="D32">
            <v>4538</v>
          </cell>
        </row>
        <row r="38">
          <cell r="D38">
            <v>10796</v>
          </cell>
        </row>
        <row r="40">
          <cell r="D40">
            <v>9349</v>
          </cell>
        </row>
        <row r="41">
          <cell r="D41">
            <v>78240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  <sheetName val="HAPM"/>
      <sheetName val="Complaint"/>
      <sheetName val="AVE Px"/>
      <sheetName val="Stock Ob"/>
      <sheetName val="NRV"/>
      <sheetName val="Tech fees"/>
      <sheetName val="NRV JV"/>
      <sheetName val="Sheet4"/>
      <sheetName val="Sheet1"/>
      <sheetName val="Sheet3"/>
      <sheetName val="North"/>
      <sheetName val="Adj store"/>
      <sheetName val="PPV-Paint"/>
      <sheetName val="PPV"/>
      <sheetName val="NCA Disp"/>
      <sheetName val="Sheet2"/>
      <sheetName val="Manufacturing exp"/>
      <sheetName val="Insur Rebates"/>
      <sheetName val="Daikin"/>
      <sheetName val="Freight"/>
      <sheetName val="Freight-03A"/>
      <sheetName val="Alcom finstock"/>
      <sheetName val="Not-ship"/>
      <sheetName val="JV-Barefin- Inported"/>
      <sheetName val="Purchases fr China"/>
      <sheetName val="Adj"/>
      <sheetName val="OT"/>
      <sheetName val="deferred tax"/>
      <sheetName val="Prepayment"/>
      <sheetName val="Fixed assets transfer"/>
      <sheetName val="Disposal"/>
      <sheetName val="Dccs"/>
      <sheetName val="Exp-Jason Au"/>
      <sheetName val="Exp-Koyasu"/>
      <sheetName val="Exp-Azlan"/>
      <sheetName val="Exp-CH Teh"/>
      <sheetName val="Exp-KF Cheah"/>
      <sheetName val="Exp-Louie Leong"/>
      <sheetName val="Exp-KH Lee"/>
      <sheetName val="Exp-Eric Chong"/>
      <sheetName val="Exp-Toru Ishii"/>
      <sheetName val="Exp-Mohd Shahrul"/>
      <sheetName val="Exp-Mazuki Musa"/>
      <sheetName val="Exp-clear"/>
      <sheetName val="Store adj"/>
      <sheetName val="Interest"/>
      <sheetName val="Statistic-Barefin Alcom"/>
      <sheetName val="Statistic ARPC"/>
      <sheetName val="Statistic China"/>
      <sheetName val="Statistic Others"/>
      <sheetName val="Purchases statistic"/>
      <sheetName val="Purchases fr ARPC"/>
      <sheetName val="Purchases fr NLM"/>
      <sheetName val="Purchases fr TaihanINDAL"/>
      <sheetName val="Tokio Insurance"/>
      <sheetName val="Statistic  NLM"/>
      <sheetName val="JV-LIST"/>
      <sheetName val="JPY Loan"/>
      <sheetName val="Working-Loan"/>
      <sheetName val="Working-int"/>
      <sheetName val="Fwd Cont &amp; Curr"/>
      <sheetName val="Slitting"/>
      <sheetName val="dividend pay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9">
          <cell r="D29">
            <v>43507</v>
          </cell>
        </row>
        <row r="30">
          <cell r="D30">
            <v>98594</v>
          </cell>
        </row>
        <row r="31">
          <cell r="D31">
            <v>409627</v>
          </cell>
        </row>
        <row r="32">
          <cell r="D32">
            <v>848</v>
          </cell>
        </row>
        <row r="33">
          <cell r="D33">
            <v>2148</v>
          </cell>
        </row>
        <row r="39">
          <cell r="D39">
            <v>13053</v>
          </cell>
        </row>
        <row r="40">
          <cell r="D40">
            <v>53409</v>
          </cell>
        </row>
        <row r="41">
          <cell r="D41">
            <v>14132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  <sheetName val="HAPM"/>
      <sheetName val="Complaint"/>
      <sheetName val="AVE Px"/>
      <sheetName val="Stock Ob"/>
      <sheetName val="NRV"/>
      <sheetName val="Tech fees"/>
      <sheetName val="NRV JV"/>
      <sheetName val="Sheet4"/>
      <sheetName val="Sheet1"/>
      <sheetName val="Sheet3"/>
      <sheetName val="North"/>
      <sheetName val="Adj store"/>
      <sheetName val="PPV-Paint"/>
      <sheetName val="PPV"/>
      <sheetName val="NCA Disp"/>
      <sheetName val="Sheet2"/>
      <sheetName val="Manufacturing exp"/>
      <sheetName val="Insur Rebates"/>
      <sheetName val="Daikin"/>
      <sheetName val="Freight"/>
      <sheetName val="Freight-03A"/>
      <sheetName val="Alcom finstock"/>
      <sheetName val="Not-ship"/>
      <sheetName val="JV-Barefin- Inported"/>
      <sheetName val="Purchases fr China"/>
      <sheetName val="Adj"/>
      <sheetName val="OT"/>
      <sheetName val="deferred tax"/>
      <sheetName val="Prepayment"/>
      <sheetName val="Fixed assets transfer"/>
      <sheetName val="Disposal"/>
      <sheetName val="Dccs"/>
      <sheetName val="Exp-Jason Au"/>
      <sheetName val="Exp-Koyasu"/>
      <sheetName val="Exp-Azlan"/>
      <sheetName val="Exp-CH Teh"/>
      <sheetName val="Exp-KF Cheah"/>
      <sheetName val="Exp-Louie Leong"/>
      <sheetName val="Exp-KH Lee"/>
      <sheetName val="Exp-Eric Chong"/>
      <sheetName val="Exp-Toru Ishii"/>
      <sheetName val="Exp-Mohd Shahrul"/>
      <sheetName val="Exp-Mazuki Musa"/>
      <sheetName val="Exp-clear"/>
      <sheetName val="Store adj"/>
      <sheetName val="Interest"/>
      <sheetName val="Statistic-Barefin Alcom"/>
      <sheetName val="Statistic ARPC"/>
      <sheetName val="Statistic China"/>
      <sheetName val="Statistic Others"/>
      <sheetName val="Purchases statistic"/>
      <sheetName val="Purchases fr ARPC"/>
      <sheetName val="Purchases fr NLM"/>
      <sheetName val="Purchases fr TaihanINDAL"/>
      <sheetName val="Tokio Insurance"/>
      <sheetName val="Statistic  NLM"/>
      <sheetName val="JV-LIST"/>
      <sheetName val="JPY Loan"/>
      <sheetName val="Working-Loan"/>
      <sheetName val="Working-int"/>
      <sheetName val="Fwd Cont &amp; Curr"/>
      <sheetName val="Slitting"/>
      <sheetName val="dividend pay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9">
          <cell r="D29">
            <v>76374</v>
          </cell>
        </row>
        <row r="30">
          <cell r="D30">
            <v>118090</v>
          </cell>
        </row>
        <row r="31">
          <cell r="D31">
            <v>294627</v>
          </cell>
        </row>
        <row r="33">
          <cell r="D33">
            <v>3518</v>
          </cell>
        </row>
        <row r="38">
          <cell r="D38">
            <v>7824</v>
          </cell>
        </row>
        <row r="40">
          <cell r="D40">
            <v>13409</v>
          </cell>
        </row>
        <row r="41">
          <cell r="D41">
            <v>7896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  <sheetName val="HAPM"/>
      <sheetName val="Complaint"/>
      <sheetName val="AVE Px"/>
      <sheetName val="Stock Ob"/>
      <sheetName val="NRV"/>
      <sheetName val="Tech fees"/>
      <sheetName val="NRV JV"/>
      <sheetName val="Sheet4"/>
      <sheetName val="Sheet1"/>
      <sheetName val="Sheet3"/>
      <sheetName val="North"/>
      <sheetName val="Adj store"/>
      <sheetName val="PPV-Paint"/>
      <sheetName val="PPV"/>
      <sheetName val="NCA Disp"/>
      <sheetName val="Sheet2"/>
      <sheetName val="Manufacturing exp"/>
      <sheetName val="Insur Rebates"/>
      <sheetName val="Daikin"/>
      <sheetName val="Freight"/>
      <sheetName val="Freight-03A"/>
      <sheetName val="Alcom finstock"/>
      <sheetName val="Not-ship"/>
      <sheetName val="JV-Barefin- Inported"/>
      <sheetName val="Purchases fr China"/>
      <sheetName val="Adj"/>
      <sheetName val="OT"/>
      <sheetName val="deferred tax"/>
      <sheetName val="Prepayment"/>
      <sheetName val="Fixed assets transfer"/>
      <sheetName val="Disposal"/>
      <sheetName val="Dccs"/>
      <sheetName val="Exp-Jason Au"/>
      <sheetName val="Exp-Koyasu"/>
      <sheetName val="Exp-Azlan"/>
      <sheetName val="Exp-CH Teh"/>
      <sheetName val="Exp-KF Cheah"/>
      <sheetName val="Exp-Louie Leong"/>
      <sheetName val="Exp-KH Lee"/>
      <sheetName val="Exp-Eric Chong"/>
      <sheetName val="Exp-Toru Ishii"/>
      <sheetName val="Exp-Mohd Shahrul"/>
      <sheetName val="Exp-Mazuki Musa"/>
      <sheetName val="Exp-clear"/>
      <sheetName val="Store adj"/>
      <sheetName val="Interest"/>
      <sheetName val="Statistic-Barefin Alcom"/>
      <sheetName val="Statistic ARPC"/>
      <sheetName val="Statistic China"/>
      <sheetName val="Statistic Others"/>
      <sheetName val="Purchases statistic"/>
      <sheetName val="Purchases fr ARPC"/>
      <sheetName val="Purchases fr NLM"/>
      <sheetName val="Purchases fr TaihanINDAL"/>
      <sheetName val="Tokio Insurance"/>
      <sheetName val="Statistic  NLM"/>
      <sheetName val="JV-LIST"/>
      <sheetName val="JPY Loan"/>
      <sheetName val="Working-Loan"/>
      <sheetName val="Working-int"/>
      <sheetName val="Fwd Cont &amp; Curr"/>
      <sheetName val="Slitting"/>
      <sheetName val="dividend pay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9">
          <cell r="D29">
            <v>87286</v>
          </cell>
        </row>
        <row r="30">
          <cell r="D30">
            <v>157542</v>
          </cell>
        </row>
        <row r="31">
          <cell r="D31">
            <v>305353</v>
          </cell>
        </row>
        <row r="33">
          <cell r="D33">
            <v>1000</v>
          </cell>
        </row>
        <row r="40">
          <cell r="D40">
            <v>31477</v>
          </cell>
        </row>
        <row r="41">
          <cell r="D41">
            <v>27612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  <sheetName val="HAPM"/>
      <sheetName val="Complaint"/>
      <sheetName val="AVE Px"/>
      <sheetName val="Stock Ob"/>
      <sheetName val="NRV"/>
      <sheetName val="Tech fees"/>
      <sheetName val="NRV JV"/>
      <sheetName val="NRV JV (2)"/>
      <sheetName val="Sheet4"/>
      <sheetName val="Sheet1"/>
      <sheetName val="Sheet3"/>
      <sheetName val="North"/>
      <sheetName val="Adj store"/>
      <sheetName val="PPV-Paint"/>
      <sheetName val="PPV"/>
      <sheetName val="NCA Disp"/>
      <sheetName val="Sheet2"/>
      <sheetName val="Manufacturing exp"/>
      <sheetName val="Insur Rebates"/>
      <sheetName val="Daikin"/>
      <sheetName val="Freight"/>
      <sheetName val="Freight-03A"/>
      <sheetName val="Alcom finstock"/>
      <sheetName val="Not-ship"/>
      <sheetName val="JV-Barefin- Inported"/>
      <sheetName val="Purchases fr China"/>
      <sheetName val="Adj"/>
      <sheetName val="OT"/>
      <sheetName val="deferred tax"/>
      <sheetName val="Prepayment"/>
      <sheetName val="Fixed assets transfer"/>
      <sheetName val="Disposal"/>
      <sheetName val="Dccs"/>
      <sheetName val="Exp-Jason Au"/>
      <sheetName val="Exp-Koyasu"/>
      <sheetName val="Exp-Azlan"/>
      <sheetName val="Exp-CH Teh"/>
      <sheetName val="Exp-KF Cheah"/>
      <sheetName val="Exp-Louie Leong"/>
      <sheetName val="Exp-KH Lee"/>
      <sheetName val="Exp-Eric Chong"/>
      <sheetName val="Exp-Toru Ishii"/>
      <sheetName val="Exp-Mohd Shahrul"/>
      <sheetName val="Exp-Mazuki Musa"/>
      <sheetName val="Exp-clear"/>
      <sheetName val="Store adj"/>
      <sheetName val="Interest"/>
      <sheetName val="Statistic-Barefin Alcom"/>
      <sheetName val="Statistic ARPC"/>
      <sheetName val="Statistic China"/>
      <sheetName val="Statistic Others"/>
      <sheetName val="Purchases statistic"/>
      <sheetName val="Purchases fr ARPC"/>
      <sheetName val="Purchases fr NLM"/>
      <sheetName val="Purchases fr TaihanINDAL"/>
      <sheetName val="Tokio Insurance"/>
      <sheetName val="Statistic  NLM"/>
      <sheetName val="JV-LIST"/>
      <sheetName val="JPY Loan"/>
      <sheetName val="Working-Loan"/>
      <sheetName val="Working-int"/>
      <sheetName val="Fwd Cont &amp; Curr"/>
      <sheetName val="Slitting"/>
      <sheetName val="dividend pay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9">
          <cell r="D29">
            <v>115906</v>
          </cell>
        </row>
        <row r="30">
          <cell r="D30">
            <v>134822</v>
          </cell>
        </row>
        <row r="31">
          <cell r="D31">
            <v>325033</v>
          </cell>
        </row>
        <row r="33">
          <cell r="D33">
            <v>6691</v>
          </cell>
        </row>
        <row r="38">
          <cell r="D38">
            <v>6845</v>
          </cell>
        </row>
        <row r="39">
          <cell r="D39">
            <v>17863</v>
          </cell>
        </row>
        <row r="40">
          <cell r="D40">
            <v>42201</v>
          </cell>
        </row>
        <row r="41">
          <cell r="D41">
            <v>29165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  <sheetName val="HAPM"/>
      <sheetName val="Complaint"/>
      <sheetName val="AVE Px"/>
      <sheetName val="Stock Ob"/>
      <sheetName val="NRV"/>
      <sheetName val="Tech fees"/>
      <sheetName val="NRV JV"/>
      <sheetName val="NRV JV (2)"/>
      <sheetName val="Sheet4"/>
      <sheetName val="Sheet1"/>
      <sheetName val="Sheet3"/>
      <sheetName val="North"/>
      <sheetName val="Adj store"/>
      <sheetName val="PPV-Paint"/>
      <sheetName val="PPV"/>
      <sheetName val="NCA Disp"/>
      <sheetName val="Sheet2"/>
      <sheetName val="Manufacturing exp"/>
      <sheetName val="Insur Rebates"/>
      <sheetName val="Daikin"/>
      <sheetName val="Freight"/>
      <sheetName val="Freight-03A"/>
      <sheetName val="Alcom finstock"/>
      <sheetName val="Not-ship"/>
      <sheetName val="JV-Barefin- Inported"/>
      <sheetName val="Purchases fr China"/>
      <sheetName val="Adj"/>
      <sheetName val="OT"/>
      <sheetName val="deferred tax"/>
      <sheetName val="Prepayment"/>
      <sheetName val="Fixed assets transfer"/>
      <sheetName val="Disposal"/>
      <sheetName val="Dccs"/>
      <sheetName val="Exp-Jason Au"/>
      <sheetName val="Exp-Koyasu"/>
      <sheetName val="Exp-Azlan"/>
      <sheetName val="Exp-CH Teh"/>
      <sheetName val="Exp-KF Cheah"/>
      <sheetName val="Exp-Louie Leong"/>
      <sheetName val="Exp-KH Lee"/>
      <sheetName val="Exp-Eric Chong"/>
      <sheetName val="Exp-Toru Ishii"/>
      <sheetName val="Exp-Mohd Shahrul"/>
      <sheetName val="Exp-Mazuki Musa"/>
      <sheetName val="Exp-clear"/>
      <sheetName val="Store adj"/>
      <sheetName val="Interest"/>
      <sheetName val="Statistic-Barefin Alcom"/>
      <sheetName val="Statistic ARPC"/>
      <sheetName val="Statistic China"/>
      <sheetName val="Statistic Others"/>
      <sheetName val="Purchases statistic"/>
      <sheetName val="Purchases fr ARPC"/>
      <sheetName val="Purchases fr NLM"/>
      <sheetName val="Purchases fr TaihanINDAL"/>
      <sheetName val="Tokio Insurance"/>
      <sheetName val="Statistic  NLM"/>
      <sheetName val="JV-LIST"/>
      <sheetName val="JPY Loan"/>
      <sheetName val="Working-Loan"/>
      <sheetName val="Working-int"/>
      <sheetName val="Fwd Cont &amp; Curr"/>
      <sheetName val="Slitting"/>
      <sheetName val="dividend pay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9">
          <cell r="D29">
            <v>31793</v>
          </cell>
        </row>
        <row r="30">
          <cell r="D30">
            <v>244718</v>
          </cell>
        </row>
        <row r="31">
          <cell r="D31">
            <v>257994</v>
          </cell>
        </row>
        <row r="32">
          <cell r="D32">
            <v>0</v>
          </cell>
        </row>
        <row r="33">
          <cell r="D33">
            <v>0</v>
          </cell>
        </row>
        <row r="39">
          <cell r="D39">
            <v>3581</v>
          </cell>
        </row>
        <row r="40">
          <cell r="D40">
            <v>17664</v>
          </cell>
        </row>
        <row r="41">
          <cell r="D41">
            <v>37760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CMI-15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FF-1"/>
      <sheetName val="NA Incr. Depr."/>
      <sheetName val="RCMI_15"/>
      <sheetName val="Contr.,Time Delivery,Cus.Return"/>
    </sheetNames>
    <sheetDataSet>
      <sheetData sheetId="0" refreshError="1">
        <row r="1">
          <cell r="A1" t="str">
            <v>alcom - Sheet &amp; Foil Division</v>
          </cell>
        </row>
        <row r="2">
          <cell r="A2" t="str">
            <v xml:space="preserve">Realizations , Cost , Margins , &amp; Inventory </v>
          </cell>
        </row>
        <row r="3">
          <cell r="A3">
            <v>36192</v>
          </cell>
        </row>
        <row r="6">
          <cell r="A6" t="str">
            <v>Realizations , Cost &amp; Margins</v>
          </cell>
          <cell r="D6" t="str">
            <v>Mth</v>
          </cell>
          <cell r="E6" t="str">
            <v>Real</v>
          </cell>
          <cell r="F6" t="str">
            <v>Costs</v>
          </cell>
          <cell r="G6" t="str">
            <v>Margin</v>
          </cell>
          <cell r="H6" t="str">
            <v>%</v>
          </cell>
          <cell r="I6" t="str">
            <v>% of Export</v>
          </cell>
        </row>
        <row r="7">
          <cell r="D7">
            <v>35827</v>
          </cell>
          <cell r="E7">
            <v>9839</v>
          </cell>
          <cell r="F7">
            <v>7380</v>
          </cell>
          <cell r="G7">
            <v>2459</v>
          </cell>
          <cell r="H7">
            <v>0.24992377274113223</v>
          </cell>
          <cell r="I7">
            <v>0.66700000000000004</v>
          </cell>
        </row>
        <row r="8">
          <cell r="D8">
            <v>35855</v>
          </cell>
          <cell r="E8">
            <v>9654</v>
          </cell>
          <cell r="F8">
            <v>7506</v>
          </cell>
          <cell r="G8">
            <v>2148</v>
          </cell>
          <cell r="H8">
            <v>0.22249844623990056</v>
          </cell>
          <cell r="I8">
            <v>0.68500000000000005</v>
          </cell>
        </row>
        <row r="9">
          <cell r="D9">
            <v>35886</v>
          </cell>
          <cell r="E9">
            <v>9597</v>
          </cell>
          <cell r="F9">
            <v>7282</v>
          </cell>
          <cell r="G9">
            <v>2315</v>
          </cell>
          <cell r="H9">
            <v>0.24122121496300927</v>
          </cell>
          <cell r="I9">
            <v>0.73652657601977756</v>
          </cell>
        </row>
        <row r="10">
          <cell r="D10">
            <v>35916</v>
          </cell>
          <cell r="E10">
            <v>9594</v>
          </cell>
          <cell r="F10">
            <v>7251</v>
          </cell>
          <cell r="G10">
            <v>2343</v>
          </cell>
          <cell r="H10">
            <v>0.244215134459037</v>
          </cell>
          <cell r="I10">
            <v>0.75682749203459265</v>
          </cell>
        </row>
        <row r="11">
          <cell r="D11">
            <v>35947</v>
          </cell>
          <cell r="E11">
            <v>9668</v>
          </cell>
          <cell r="F11">
            <v>7170</v>
          </cell>
          <cell r="G11">
            <v>2498</v>
          </cell>
          <cell r="H11">
            <v>0.2583781547372776</v>
          </cell>
          <cell r="I11">
            <v>0.72144417319799559</v>
          </cell>
        </row>
        <row r="12">
          <cell r="D12">
            <v>35977</v>
          </cell>
          <cell r="E12">
            <v>9213</v>
          </cell>
          <cell r="F12">
            <v>6780</v>
          </cell>
          <cell r="G12">
            <v>2433</v>
          </cell>
          <cell r="H12">
            <v>0.26408336046890263</v>
          </cell>
          <cell r="I12">
            <v>0.65235933415875635</v>
          </cell>
        </row>
        <row r="13">
          <cell r="D13">
            <v>36008</v>
          </cell>
          <cell r="E13">
            <v>9272</v>
          </cell>
          <cell r="F13">
            <v>6752</v>
          </cell>
          <cell r="G13">
            <v>2520</v>
          </cell>
          <cell r="H13">
            <v>0.27178602243313199</v>
          </cell>
          <cell r="I13">
            <v>0.71308095952023987</v>
          </cell>
        </row>
        <row r="14">
          <cell r="D14">
            <v>36039</v>
          </cell>
          <cell r="E14">
            <v>8825</v>
          </cell>
          <cell r="F14">
            <v>6726</v>
          </cell>
          <cell r="G14">
            <v>2099</v>
          </cell>
          <cell r="H14">
            <v>0.23784702549575071</v>
          </cell>
          <cell r="I14">
            <v>0.6865889212827988</v>
          </cell>
        </row>
        <row r="15">
          <cell r="D15">
            <v>36069</v>
          </cell>
          <cell r="E15">
            <v>8831</v>
          </cell>
          <cell r="F15">
            <v>6640</v>
          </cell>
          <cell r="G15">
            <v>2191</v>
          </cell>
          <cell r="H15">
            <v>0.2481032725625637</v>
          </cell>
          <cell r="I15">
            <v>0.73832256589102963</v>
          </cell>
        </row>
        <row r="16">
          <cell r="D16">
            <v>36100</v>
          </cell>
          <cell r="E16">
            <v>8845</v>
          </cell>
          <cell r="F16">
            <v>6559</v>
          </cell>
          <cell r="G16">
            <v>2286</v>
          </cell>
          <cell r="H16">
            <v>0.25845110231769364</v>
          </cell>
          <cell r="I16">
            <v>0.68408401533794994</v>
          </cell>
        </row>
        <row r="17">
          <cell r="D17">
            <v>36130</v>
          </cell>
          <cell r="E17">
            <v>8863</v>
          </cell>
          <cell r="F17">
            <v>6470</v>
          </cell>
          <cell r="G17">
            <v>2393</v>
          </cell>
          <cell r="H17">
            <v>0.26999887171386666</v>
          </cell>
          <cell r="I17">
            <v>0.72081131753877625</v>
          </cell>
        </row>
        <row r="18">
          <cell r="D18">
            <v>36161</v>
          </cell>
          <cell r="E18">
            <v>8646</v>
          </cell>
          <cell r="F18">
            <v>6460</v>
          </cell>
          <cell r="G18">
            <v>2186</v>
          </cell>
          <cell r="H18">
            <v>0.25283368031459635</v>
          </cell>
          <cell r="I18">
            <v>0.74829590299203563</v>
          </cell>
        </row>
        <row r="19">
          <cell r="D19">
            <v>36192</v>
          </cell>
          <cell r="E19">
            <v>8558</v>
          </cell>
          <cell r="F19">
            <v>6284</v>
          </cell>
          <cell r="G19">
            <v>2274</v>
          </cell>
          <cell r="H19">
            <v>0.26571628885253562</v>
          </cell>
          <cell r="I19">
            <v>0.69928915057083363</v>
          </cell>
        </row>
        <row r="21">
          <cell r="F21" t="str">
            <v>Caster</v>
          </cell>
        </row>
        <row r="22">
          <cell r="A22" t="str">
            <v>Inventory</v>
          </cell>
          <cell r="D22" t="str">
            <v>Mth</v>
          </cell>
          <cell r="E22" t="str">
            <v>MIT</v>
          </cell>
          <cell r="F22" t="str">
            <v>RM , Scarp &amp; Caster</v>
          </cell>
          <cell r="G22" t="str">
            <v>Reroll &amp; WIP</v>
          </cell>
          <cell r="H22" t="str">
            <v>FG</v>
          </cell>
          <cell r="I22" t="str">
            <v xml:space="preserve">Total </v>
          </cell>
          <cell r="J22" t="str">
            <v>Inv. Turn(Incl. MIT)</v>
          </cell>
        </row>
        <row r="23">
          <cell r="D23">
            <v>35827</v>
          </cell>
          <cell r="E23">
            <v>422</v>
          </cell>
          <cell r="F23">
            <v>761</v>
          </cell>
          <cell r="G23">
            <v>1544</v>
          </cell>
          <cell r="H23">
            <v>610</v>
          </cell>
          <cell r="I23">
            <v>3337</v>
          </cell>
          <cell r="J23">
            <v>5.43</v>
          </cell>
        </row>
        <row r="24">
          <cell r="D24">
            <v>35855</v>
          </cell>
          <cell r="E24">
            <v>363</v>
          </cell>
          <cell r="F24">
            <v>583</v>
          </cell>
          <cell r="G24">
            <v>1688</v>
          </cell>
          <cell r="H24">
            <v>587</v>
          </cell>
          <cell r="I24">
            <v>3221</v>
          </cell>
          <cell r="J24">
            <v>5.29</v>
          </cell>
        </row>
        <row r="25">
          <cell r="D25">
            <v>35886</v>
          </cell>
          <cell r="E25">
            <v>21</v>
          </cell>
          <cell r="F25">
            <v>778</v>
          </cell>
          <cell r="G25">
            <v>1385</v>
          </cell>
          <cell r="H25">
            <v>705</v>
          </cell>
          <cell r="I25">
            <v>2889</v>
          </cell>
          <cell r="J25">
            <v>6.25</v>
          </cell>
        </row>
        <row r="26">
          <cell r="D26">
            <v>35916</v>
          </cell>
          <cell r="E26">
            <v>57</v>
          </cell>
          <cell r="F26">
            <v>613</v>
          </cell>
          <cell r="G26">
            <v>1321</v>
          </cell>
          <cell r="H26">
            <v>568</v>
          </cell>
          <cell r="I26">
            <v>2558</v>
          </cell>
          <cell r="J26">
            <v>7.12</v>
          </cell>
        </row>
        <row r="27">
          <cell r="D27">
            <v>35947</v>
          </cell>
          <cell r="E27">
            <v>13</v>
          </cell>
          <cell r="F27">
            <v>899</v>
          </cell>
          <cell r="G27">
            <v>1152</v>
          </cell>
          <cell r="H27">
            <v>486.911</v>
          </cell>
          <cell r="I27">
            <v>2549.9110000000001</v>
          </cell>
          <cell r="J27">
            <v>7.69</v>
          </cell>
        </row>
        <row r="28">
          <cell r="D28">
            <v>35977</v>
          </cell>
          <cell r="E28">
            <v>1</v>
          </cell>
          <cell r="F28">
            <v>578</v>
          </cell>
          <cell r="G28">
            <v>1432</v>
          </cell>
          <cell r="H28">
            <v>546</v>
          </cell>
          <cell r="I28">
            <v>2557</v>
          </cell>
          <cell r="J28">
            <v>7.86</v>
          </cell>
        </row>
        <row r="29">
          <cell r="D29">
            <v>36008</v>
          </cell>
          <cell r="E29">
            <v>4</v>
          </cell>
          <cell r="F29">
            <v>388</v>
          </cell>
          <cell r="G29">
            <v>1701</v>
          </cell>
          <cell r="H29">
            <v>620</v>
          </cell>
          <cell r="I29">
            <v>2713</v>
          </cell>
          <cell r="J29">
            <v>7.54</v>
          </cell>
        </row>
        <row r="30">
          <cell r="D30">
            <v>36039</v>
          </cell>
          <cell r="E30">
            <v>7</v>
          </cell>
          <cell r="F30">
            <v>707</v>
          </cell>
          <cell r="G30">
            <v>1785</v>
          </cell>
          <cell r="H30">
            <v>572</v>
          </cell>
          <cell r="I30">
            <v>3071</v>
          </cell>
          <cell r="J30">
            <v>7.44</v>
          </cell>
        </row>
        <row r="31">
          <cell r="D31">
            <v>36069</v>
          </cell>
          <cell r="E31">
            <v>10</v>
          </cell>
          <cell r="F31">
            <v>810.92499999999995</v>
          </cell>
          <cell r="G31">
            <v>1616.0059999999999</v>
          </cell>
          <cell r="H31">
            <v>506</v>
          </cell>
          <cell r="I31">
            <v>2942.9309999999996</v>
          </cell>
          <cell r="J31">
            <v>7.66</v>
          </cell>
        </row>
        <row r="32">
          <cell r="D32">
            <v>36100</v>
          </cell>
          <cell r="E32">
            <v>7</v>
          </cell>
          <cell r="F32">
            <v>623</v>
          </cell>
          <cell r="G32">
            <v>1400</v>
          </cell>
          <cell r="H32">
            <v>546</v>
          </cell>
          <cell r="I32">
            <v>2576</v>
          </cell>
          <cell r="J32">
            <v>8.1300000000000008</v>
          </cell>
        </row>
        <row r="33">
          <cell r="D33">
            <v>36130</v>
          </cell>
          <cell r="E33">
            <v>13</v>
          </cell>
          <cell r="F33">
            <v>873.9</v>
          </cell>
          <cell r="G33">
            <v>1519</v>
          </cell>
          <cell r="H33">
            <v>461</v>
          </cell>
          <cell r="I33">
            <v>2866.9</v>
          </cell>
          <cell r="J33">
            <v>8.5</v>
          </cell>
        </row>
        <row r="34">
          <cell r="D34">
            <v>36161</v>
          </cell>
          <cell r="E34">
            <v>0</v>
          </cell>
          <cell r="F34">
            <v>943</v>
          </cell>
          <cell r="G34">
            <v>1398</v>
          </cell>
          <cell r="H34">
            <v>538</v>
          </cell>
          <cell r="I34">
            <v>2879</v>
          </cell>
          <cell r="J34">
            <v>8.0399999999999991</v>
          </cell>
        </row>
        <row r="35">
          <cell r="D35">
            <v>36192</v>
          </cell>
          <cell r="E35">
            <v>62</v>
          </cell>
          <cell r="F35">
            <v>575</v>
          </cell>
          <cell r="G35">
            <v>1696</v>
          </cell>
          <cell r="H35">
            <v>595</v>
          </cell>
          <cell r="I35">
            <v>2929</v>
          </cell>
          <cell r="J35">
            <v>7.23</v>
          </cell>
        </row>
        <row r="38">
          <cell r="H38" t="str">
            <v>Sales</v>
          </cell>
        </row>
        <row r="39">
          <cell r="A39" t="str">
            <v>Production &amp; Sales Volume</v>
          </cell>
          <cell r="D39" t="str">
            <v>Mth</v>
          </cell>
          <cell r="E39" t="str">
            <v xml:space="preserve">Sheet </v>
          </cell>
          <cell r="F39" t="str">
            <v>Foil</v>
          </cell>
          <cell r="G39" t="str">
            <v>Total</v>
          </cell>
          <cell r="H39" t="str">
            <v>Volume</v>
          </cell>
        </row>
        <row r="40">
          <cell r="D40">
            <v>35827</v>
          </cell>
          <cell r="E40">
            <v>782</v>
          </cell>
          <cell r="F40">
            <v>835</v>
          </cell>
          <cell r="G40">
            <v>1617</v>
          </cell>
          <cell r="H40">
            <v>1609</v>
          </cell>
        </row>
        <row r="41">
          <cell r="D41">
            <v>35855</v>
          </cell>
          <cell r="E41">
            <v>775</v>
          </cell>
          <cell r="F41">
            <v>859</v>
          </cell>
          <cell r="G41">
            <v>1634</v>
          </cell>
          <cell r="H41">
            <v>1626</v>
          </cell>
        </row>
        <row r="42">
          <cell r="D42">
            <v>35886</v>
          </cell>
          <cell r="E42">
            <v>865</v>
          </cell>
          <cell r="F42">
            <v>1003</v>
          </cell>
          <cell r="G42">
            <v>1868</v>
          </cell>
          <cell r="H42">
            <v>1686</v>
          </cell>
        </row>
        <row r="43">
          <cell r="D43">
            <v>35916</v>
          </cell>
          <cell r="E43">
            <v>703</v>
          </cell>
          <cell r="F43">
            <v>1062</v>
          </cell>
          <cell r="G43">
            <v>1765</v>
          </cell>
          <cell r="H43">
            <v>1832</v>
          </cell>
        </row>
        <row r="44">
          <cell r="D44">
            <v>35947</v>
          </cell>
          <cell r="E44">
            <v>704</v>
          </cell>
          <cell r="F44">
            <v>905</v>
          </cell>
          <cell r="G44">
            <v>1609</v>
          </cell>
          <cell r="H44">
            <v>1610</v>
          </cell>
        </row>
        <row r="45">
          <cell r="D45">
            <v>35977</v>
          </cell>
          <cell r="E45">
            <v>821</v>
          </cell>
          <cell r="F45">
            <v>887</v>
          </cell>
          <cell r="G45">
            <v>1708</v>
          </cell>
          <cell r="H45">
            <v>1578</v>
          </cell>
        </row>
        <row r="46">
          <cell r="D46">
            <v>36008</v>
          </cell>
          <cell r="E46">
            <v>1036</v>
          </cell>
          <cell r="F46">
            <v>820</v>
          </cell>
          <cell r="G46">
            <v>1856</v>
          </cell>
          <cell r="H46">
            <v>1726</v>
          </cell>
        </row>
        <row r="47">
          <cell r="D47">
            <v>36039</v>
          </cell>
          <cell r="E47">
            <v>1016</v>
          </cell>
          <cell r="F47">
            <v>840</v>
          </cell>
          <cell r="G47">
            <v>1856</v>
          </cell>
          <cell r="H47">
            <v>1865</v>
          </cell>
        </row>
        <row r="48">
          <cell r="D48">
            <v>36069</v>
          </cell>
          <cell r="E48">
            <v>918</v>
          </cell>
          <cell r="F48">
            <v>1113</v>
          </cell>
          <cell r="G48">
            <v>2031</v>
          </cell>
          <cell r="H48">
            <v>1981</v>
          </cell>
        </row>
        <row r="49">
          <cell r="D49">
            <v>36100</v>
          </cell>
          <cell r="E49">
            <v>870</v>
          </cell>
          <cell r="F49">
            <v>1239</v>
          </cell>
          <cell r="G49">
            <v>2109</v>
          </cell>
          <cell r="H49">
            <v>1975</v>
          </cell>
        </row>
        <row r="50">
          <cell r="D50">
            <v>36130</v>
          </cell>
          <cell r="E50">
            <v>832</v>
          </cell>
          <cell r="F50">
            <v>1152</v>
          </cell>
          <cell r="G50">
            <v>1984</v>
          </cell>
          <cell r="H50">
            <v>1986</v>
          </cell>
        </row>
        <row r="51">
          <cell r="D51">
            <v>36161</v>
          </cell>
          <cell r="E51">
            <v>754</v>
          </cell>
          <cell r="F51">
            <v>977</v>
          </cell>
          <cell r="G51">
            <v>1731</v>
          </cell>
          <cell r="H51">
            <v>1612</v>
          </cell>
        </row>
        <row r="52">
          <cell r="D52">
            <v>36192</v>
          </cell>
          <cell r="E52">
            <v>696</v>
          </cell>
          <cell r="F52">
            <v>1058</v>
          </cell>
          <cell r="G52">
            <v>1754</v>
          </cell>
          <cell r="H52">
            <v>1627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.,Time Delivery,Cus.Return"/>
      <sheetName val="SA&amp;E,Period,OME,Recovery,Cm Hrs"/>
      <sheetName val="Total Cost &amp; Total CostperMT"/>
      <sheetName val="Productivity &amp; Hrs Worked"/>
      <sheetName val="Inventory Turn"/>
      <sheetName val="Prod,Sales"/>
      <sheetName val="CASTER, ROLLING"/>
      <sheetName val="spc-Caster"/>
      <sheetName val="spc-Cold Mill"/>
      <sheetName val="spc-FM 1"/>
      <sheetName val="spc-FM 2"/>
    </sheetNames>
    <sheetDataSet>
      <sheetData sheetId="0" refreshError="1">
        <row r="1">
          <cell r="A1" t="str">
            <v>ALUMINIUM COMPANY OF MALAYSIA BERHAD</v>
          </cell>
        </row>
        <row r="3">
          <cell r="A3" t="str">
            <v>CONTRIBUTION , ON TIME DELIVERY , CUSTOMER RETURNS</v>
          </cell>
        </row>
        <row r="5">
          <cell r="A5">
            <v>36831</v>
          </cell>
        </row>
        <row r="8">
          <cell r="F8" t="str">
            <v>Mth</v>
          </cell>
          <cell r="G8" t="str">
            <v>Real.</v>
          </cell>
          <cell r="H8" t="str">
            <v>Costs</v>
          </cell>
          <cell r="I8" t="str">
            <v>Margins</v>
          </cell>
          <cell r="J8" t="str">
            <v>%</v>
          </cell>
          <cell r="K8" t="str">
            <v>% of Export</v>
          </cell>
        </row>
        <row r="9">
          <cell r="F9" t="str">
            <v>Jul'98</v>
          </cell>
          <cell r="G9">
            <v>9213</v>
          </cell>
          <cell r="H9">
            <v>6780</v>
          </cell>
          <cell r="I9">
            <v>2433</v>
          </cell>
          <cell r="J9">
            <v>0.26400000000000001</v>
          </cell>
          <cell r="K9">
            <v>0.65200000000000002</v>
          </cell>
        </row>
        <row r="10">
          <cell r="F10" t="str">
            <v>Aug</v>
          </cell>
          <cell r="G10">
            <v>9275</v>
          </cell>
          <cell r="H10">
            <v>6752</v>
          </cell>
          <cell r="I10">
            <v>2520</v>
          </cell>
          <cell r="J10">
            <v>0.27200000000000002</v>
          </cell>
          <cell r="K10">
            <v>0.71299999999999997</v>
          </cell>
        </row>
        <row r="11">
          <cell r="F11" t="str">
            <v>Sep</v>
          </cell>
          <cell r="G11">
            <v>8825</v>
          </cell>
          <cell r="H11">
            <v>6726</v>
          </cell>
          <cell r="I11">
            <v>2099</v>
          </cell>
          <cell r="J11">
            <v>0.23799999999999999</v>
          </cell>
          <cell r="K11">
            <v>0.68700000000000006</v>
          </cell>
        </row>
        <row r="12">
          <cell r="F12" t="str">
            <v>Oct</v>
          </cell>
          <cell r="G12">
            <v>8831</v>
          </cell>
          <cell r="H12">
            <v>6640</v>
          </cell>
          <cell r="I12">
            <v>2191</v>
          </cell>
          <cell r="J12">
            <v>0.248</v>
          </cell>
          <cell r="K12">
            <v>0.73799999999999999</v>
          </cell>
        </row>
        <row r="13">
          <cell r="F13" t="str">
            <v>Nov</v>
          </cell>
          <cell r="G13">
            <v>8845</v>
          </cell>
          <cell r="H13">
            <v>6559</v>
          </cell>
          <cell r="I13">
            <v>2286</v>
          </cell>
          <cell r="J13">
            <v>0.25800000000000001</v>
          </cell>
          <cell r="K13">
            <v>0.68400000000000005</v>
          </cell>
        </row>
        <row r="14">
          <cell r="F14" t="str">
            <v>Dec</v>
          </cell>
          <cell r="G14">
            <v>8863</v>
          </cell>
          <cell r="H14">
            <v>6470</v>
          </cell>
          <cell r="I14">
            <v>2393</v>
          </cell>
          <cell r="J14">
            <v>0.27</v>
          </cell>
          <cell r="K14">
            <v>0.72099999999999997</v>
          </cell>
        </row>
        <row r="15">
          <cell r="F15" t="str">
            <v>Jan'99</v>
          </cell>
          <cell r="G15">
            <v>8646</v>
          </cell>
          <cell r="H15">
            <v>6547</v>
          </cell>
          <cell r="I15">
            <v>2099</v>
          </cell>
          <cell r="J15">
            <v>0.24277122368725423</v>
          </cell>
          <cell r="K15">
            <v>0.748</v>
          </cell>
        </row>
        <row r="16">
          <cell r="F16" t="str">
            <v>Feb</v>
          </cell>
          <cell r="G16">
            <v>8558</v>
          </cell>
          <cell r="H16">
            <v>6380</v>
          </cell>
          <cell r="I16">
            <v>2180</v>
          </cell>
          <cell r="J16">
            <v>0.25473241411544756</v>
          </cell>
          <cell r="K16">
            <v>0.69599999999999995</v>
          </cell>
        </row>
        <row r="17">
          <cell r="F17" t="str">
            <v>Mar</v>
          </cell>
          <cell r="G17">
            <v>8399</v>
          </cell>
          <cell r="H17">
            <v>6273</v>
          </cell>
          <cell r="I17">
            <v>2126</v>
          </cell>
          <cell r="J17">
            <v>0.25312537206810337</v>
          </cell>
          <cell r="K17">
            <v>0.7439544807965861</v>
          </cell>
        </row>
        <row r="18">
          <cell r="F18" t="str">
            <v>Apr</v>
          </cell>
          <cell r="G18">
            <v>8335</v>
          </cell>
          <cell r="H18">
            <v>6120</v>
          </cell>
          <cell r="I18">
            <v>2215</v>
          </cell>
          <cell r="J18">
            <v>0.26574685062987402</v>
          </cell>
          <cell r="K18">
            <v>0.71973555868646366</v>
          </cell>
        </row>
        <row r="19">
          <cell r="F19" t="str">
            <v>May</v>
          </cell>
          <cell r="G19">
            <v>8492</v>
          </cell>
          <cell r="H19">
            <v>6123</v>
          </cell>
          <cell r="I19">
            <v>2297</v>
          </cell>
          <cell r="J19">
            <v>0.27048987282147902</v>
          </cell>
          <cell r="K19">
            <v>0.62946483747373627</v>
          </cell>
        </row>
        <row r="20">
          <cell r="F20" t="str">
            <v>Jun</v>
          </cell>
          <cell r="G20">
            <v>8509</v>
          </cell>
          <cell r="H20">
            <v>6212</v>
          </cell>
          <cell r="I20">
            <v>2232</v>
          </cell>
          <cell r="J20">
            <v>0.26231049477024326</v>
          </cell>
          <cell r="K20">
            <v>0.59511743229251812</v>
          </cell>
        </row>
        <row r="21">
          <cell r="F21" t="str">
            <v>Jul'99</v>
          </cell>
          <cell r="G21">
            <v>8655</v>
          </cell>
          <cell r="H21">
            <v>6332</v>
          </cell>
          <cell r="I21">
            <v>2254</v>
          </cell>
          <cell r="J21">
            <v>0.26042749855574815</v>
          </cell>
          <cell r="K21">
            <v>0.64446974948014657</v>
          </cell>
        </row>
        <row r="22">
          <cell r="F22" t="str">
            <v>Aug</v>
          </cell>
          <cell r="G22">
            <v>8853</v>
          </cell>
          <cell r="H22">
            <v>6500</v>
          </cell>
          <cell r="I22">
            <v>2290</v>
          </cell>
          <cell r="J22">
            <v>0.2586693776121089</v>
          </cell>
          <cell r="K22">
            <v>0.59151264074782239</v>
          </cell>
        </row>
        <row r="23">
          <cell r="F23" t="str">
            <v>Sep</v>
          </cell>
          <cell r="G23">
            <v>9060</v>
          </cell>
          <cell r="H23">
            <v>6501</v>
          </cell>
          <cell r="I23">
            <v>2260</v>
          </cell>
          <cell r="J23">
            <v>0.24944812362030905</v>
          </cell>
          <cell r="K23">
            <v>0.53076028830504529</v>
          </cell>
        </row>
        <row r="24">
          <cell r="F24" t="str">
            <v>Oct</v>
          </cell>
          <cell r="G24">
            <v>9203</v>
          </cell>
          <cell r="H24">
            <v>6944</v>
          </cell>
          <cell r="I24">
            <v>2200</v>
          </cell>
          <cell r="J24">
            <v>0.23905248288601544</v>
          </cell>
          <cell r="K24">
            <v>0.5258091372671454</v>
          </cell>
        </row>
        <row r="25">
          <cell r="F25" t="str">
            <v>Nov</v>
          </cell>
          <cell r="G25">
            <v>9488</v>
          </cell>
          <cell r="H25">
            <v>7453</v>
          </cell>
          <cell r="I25">
            <v>1975</v>
          </cell>
          <cell r="J25">
            <v>0.20815767284991568</v>
          </cell>
          <cell r="K25">
            <v>0.57580034644254829</v>
          </cell>
        </row>
        <row r="26">
          <cell r="F26" t="str">
            <v>Dec'99</v>
          </cell>
          <cell r="G26">
            <v>9320</v>
          </cell>
          <cell r="H26">
            <v>7262</v>
          </cell>
          <cell r="I26">
            <v>2000</v>
          </cell>
          <cell r="J26">
            <v>0.21459227467811159</v>
          </cell>
          <cell r="K26">
            <v>0.71366607611949417</v>
          </cell>
        </row>
        <row r="27">
          <cell r="F27" t="str">
            <v>Jan2000</v>
          </cell>
          <cell r="G27">
            <v>9284</v>
          </cell>
          <cell r="H27">
            <v>7085</v>
          </cell>
          <cell r="I27">
            <v>2131</v>
          </cell>
          <cell r="J27">
            <v>0.22953468332615251</v>
          </cell>
          <cell r="K27">
            <v>0.74393610148587541</v>
          </cell>
        </row>
        <row r="28">
          <cell r="F28" t="str">
            <v>Feb</v>
          </cell>
          <cell r="G28">
            <v>9572</v>
          </cell>
          <cell r="H28">
            <v>7483</v>
          </cell>
          <cell r="I28">
            <v>2027</v>
          </cell>
          <cell r="J28">
            <v>0.21176347680735477</v>
          </cell>
          <cell r="K28">
            <v>0.74231938764810734</v>
          </cell>
        </row>
        <row r="29">
          <cell r="F29" t="str">
            <v>Mar</v>
          </cell>
          <cell r="G29">
            <v>9835</v>
          </cell>
          <cell r="H29">
            <v>7585</v>
          </cell>
          <cell r="I29">
            <v>2194</v>
          </cell>
          <cell r="J29">
            <v>0.22308083375699034</v>
          </cell>
          <cell r="K29">
            <v>0.73463943309712376</v>
          </cell>
        </row>
        <row r="30">
          <cell r="F30" t="str">
            <v>Apr</v>
          </cell>
          <cell r="G30">
            <v>9889</v>
          </cell>
          <cell r="H30">
            <v>7475</v>
          </cell>
          <cell r="I30">
            <v>2353</v>
          </cell>
          <cell r="J30">
            <v>0.23794114672868844</v>
          </cell>
          <cell r="K30">
            <v>0.7141771382245643</v>
          </cell>
        </row>
        <row r="31">
          <cell r="F31" t="str">
            <v>May</v>
          </cell>
          <cell r="G31">
            <v>9637</v>
          </cell>
          <cell r="H31">
            <v>7462</v>
          </cell>
          <cell r="I31">
            <v>2117</v>
          </cell>
          <cell r="J31">
            <v>0.21967417246030924</v>
          </cell>
          <cell r="K31">
            <v>0.76938291139240511</v>
          </cell>
        </row>
        <row r="32">
          <cell r="F32" t="str">
            <v>Jun</v>
          </cell>
          <cell r="G32">
            <v>9817</v>
          </cell>
          <cell r="H32">
            <v>7563</v>
          </cell>
          <cell r="I32">
            <v>2189</v>
          </cell>
          <cell r="J32">
            <v>0.22298054395436487</v>
          </cell>
          <cell r="K32">
            <v>0.68266728624535311</v>
          </cell>
        </row>
        <row r="33">
          <cell r="F33" t="str">
            <v>Jul</v>
          </cell>
          <cell r="G33">
            <v>9468</v>
          </cell>
          <cell r="H33">
            <v>7385</v>
          </cell>
          <cell r="I33">
            <v>2047</v>
          </cell>
          <cell r="J33">
            <v>0.21620194338825519</v>
          </cell>
          <cell r="K33">
            <v>0.66375370398272315</v>
          </cell>
        </row>
        <row r="34">
          <cell r="F34" t="str">
            <v>Aug</v>
          </cell>
          <cell r="G34">
            <v>9568</v>
          </cell>
          <cell r="H34">
            <v>7422</v>
          </cell>
          <cell r="I34">
            <v>2076</v>
          </cell>
          <cell r="J34">
            <v>0.21697324414715718</v>
          </cell>
          <cell r="K34">
            <v>0.59396200814111266</v>
          </cell>
        </row>
        <row r="35">
          <cell r="F35" t="str">
            <v>Sep</v>
          </cell>
          <cell r="G35">
            <v>9550</v>
          </cell>
          <cell r="H35">
            <v>7563</v>
          </cell>
          <cell r="I35">
            <v>1918</v>
          </cell>
          <cell r="J35">
            <v>0.20083769633507853</v>
          </cell>
          <cell r="K35">
            <v>0.67504426519771787</v>
          </cell>
        </row>
        <row r="36">
          <cell r="F36" t="str">
            <v>Oct</v>
          </cell>
          <cell r="G36">
            <v>9668</v>
          </cell>
          <cell r="H36">
            <v>7758</v>
          </cell>
          <cell r="I36">
            <v>1840</v>
          </cell>
          <cell r="J36">
            <v>0.19031857674803476</v>
          </cell>
          <cell r="K36">
            <v>0.61058649379817265</v>
          </cell>
        </row>
        <row r="37">
          <cell r="F37" t="str">
            <v>Nov</v>
          </cell>
          <cell r="G37">
            <v>9708</v>
          </cell>
          <cell r="H37">
            <v>7662</v>
          </cell>
          <cell r="I37">
            <v>1984</v>
          </cell>
          <cell r="J37">
            <v>0.20436753193242688</v>
          </cell>
          <cell r="K37">
            <v>0.63863924854023868</v>
          </cell>
        </row>
        <row r="38">
          <cell r="F38" t="str">
            <v>Dec</v>
          </cell>
        </row>
        <row r="41">
          <cell r="G41" t="str">
            <v>No of item</v>
          </cell>
          <cell r="I41" t="str">
            <v>Total item</v>
          </cell>
          <cell r="K41" t="str">
            <v>On Time</v>
          </cell>
        </row>
        <row r="42">
          <cell r="F42" t="str">
            <v>Mth</v>
          </cell>
          <cell r="G42" t="str">
            <v>Delivery</v>
          </cell>
          <cell r="I42" t="str">
            <v>Produced</v>
          </cell>
          <cell r="K42" t="str">
            <v>Delivery(%)</v>
          </cell>
        </row>
        <row r="43">
          <cell r="F43" t="str">
            <v>Jul'98</v>
          </cell>
          <cell r="G43">
            <v>288</v>
          </cell>
          <cell r="I43">
            <v>493</v>
          </cell>
          <cell r="K43">
            <v>58.42</v>
          </cell>
        </row>
        <row r="44">
          <cell r="F44" t="str">
            <v>Aug</v>
          </cell>
          <cell r="G44">
            <v>465</v>
          </cell>
          <cell r="I44">
            <v>679</v>
          </cell>
          <cell r="K44">
            <v>68.42</v>
          </cell>
        </row>
        <row r="45">
          <cell r="F45" t="str">
            <v>Sep</v>
          </cell>
          <cell r="G45">
            <v>313</v>
          </cell>
          <cell r="I45">
            <v>585</v>
          </cell>
          <cell r="K45">
            <v>53.5</v>
          </cell>
        </row>
        <row r="46">
          <cell r="F46" t="str">
            <v>Oct</v>
          </cell>
          <cell r="G46">
            <v>309</v>
          </cell>
          <cell r="I46">
            <v>628</v>
          </cell>
          <cell r="K46">
            <v>49.2</v>
          </cell>
        </row>
        <row r="47">
          <cell r="F47" t="str">
            <v>Nov</v>
          </cell>
          <cell r="G47">
            <v>328</v>
          </cell>
          <cell r="I47">
            <v>620</v>
          </cell>
          <cell r="K47">
            <v>52.9</v>
          </cell>
        </row>
        <row r="48">
          <cell r="F48" t="str">
            <v>Dec</v>
          </cell>
          <cell r="G48">
            <v>324</v>
          </cell>
          <cell r="I48">
            <v>604</v>
          </cell>
          <cell r="K48">
            <v>53.64</v>
          </cell>
        </row>
        <row r="49">
          <cell r="F49" t="str">
            <v>Jan'99</v>
          </cell>
          <cell r="G49">
            <v>288</v>
          </cell>
          <cell r="I49">
            <v>432</v>
          </cell>
          <cell r="K49">
            <v>0.66669999999999996</v>
          </cell>
        </row>
        <row r="50">
          <cell r="F50" t="str">
            <v>Feb</v>
          </cell>
          <cell r="G50">
            <v>320</v>
          </cell>
          <cell r="I50">
            <v>578</v>
          </cell>
          <cell r="K50">
            <v>0.55400000000000005</v>
          </cell>
        </row>
        <row r="51">
          <cell r="F51" t="str">
            <v>Mar</v>
          </cell>
          <cell r="G51">
            <v>315</v>
          </cell>
          <cell r="I51">
            <v>470</v>
          </cell>
          <cell r="K51">
            <v>0.67</v>
          </cell>
        </row>
        <row r="52">
          <cell r="F52" t="str">
            <v>Apr</v>
          </cell>
          <cell r="G52">
            <v>401</v>
          </cell>
          <cell r="I52">
            <v>691</v>
          </cell>
          <cell r="K52">
            <v>0.58031837916063678</v>
          </cell>
        </row>
        <row r="53">
          <cell r="F53" t="str">
            <v>May</v>
          </cell>
          <cell r="G53">
            <v>351</v>
          </cell>
          <cell r="I53">
            <v>613</v>
          </cell>
          <cell r="K53">
            <v>0.57259380097879287</v>
          </cell>
        </row>
        <row r="54">
          <cell r="F54" t="str">
            <v>Jun</v>
          </cell>
          <cell r="G54">
            <v>446</v>
          </cell>
          <cell r="I54">
            <v>786</v>
          </cell>
          <cell r="K54">
            <v>0.56743002544529264</v>
          </cell>
        </row>
        <row r="55">
          <cell r="F55" t="str">
            <v>Jul</v>
          </cell>
          <cell r="G55">
            <v>452</v>
          </cell>
          <cell r="I55">
            <v>847</v>
          </cell>
          <cell r="K55">
            <v>0.53364817001180642</v>
          </cell>
        </row>
        <row r="56">
          <cell r="F56" t="str">
            <v>Aug</v>
          </cell>
          <cell r="G56">
            <v>585</v>
          </cell>
          <cell r="I56">
            <v>848</v>
          </cell>
          <cell r="K56">
            <v>0.68985849056603776</v>
          </cell>
        </row>
        <row r="57">
          <cell r="F57" t="str">
            <v>Sep</v>
          </cell>
          <cell r="G57">
            <v>484</v>
          </cell>
          <cell r="I57">
            <v>841</v>
          </cell>
          <cell r="K57">
            <v>0.57550535077288945</v>
          </cell>
        </row>
        <row r="58">
          <cell r="F58" t="str">
            <v>Oct</v>
          </cell>
          <cell r="G58">
            <v>552</v>
          </cell>
          <cell r="I58">
            <v>726</v>
          </cell>
          <cell r="K58">
            <v>0.76033057851239672</v>
          </cell>
        </row>
        <row r="59">
          <cell r="F59" t="str">
            <v>Nov</v>
          </cell>
          <cell r="G59">
            <v>514</v>
          </cell>
          <cell r="I59">
            <v>685</v>
          </cell>
          <cell r="K59">
            <v>0.75036496350364967</v>
          </cell>
        </row>
        <row r="60">
          <cell r="F60" t="str">
            <v>Dec'99</v>
          </cell>
          <cell r="G60">
            <v>276</v>
          </cell>
          <cell r="I60">
            <v>523</v>
          </cell>
          <cell r="K60">
            <v>0.52772466539196938</v>
          </cell>
        </row>
        <row r="61">
          <cell r="F61" t="str">
            <v>Jan'2000</v>
          </cell>
          <cell r="G61">
            <v>236</v>
          </cell>
          <cell r="I61">
            <v>464</v>
          </cell>
          <cell r="K61">
            <v>0.50862068965517238</v>
          </cell>
        </row>
        <row r="62">
          <cell r="F62" t="str">
            <v>Feb</v>
          </cell>
          <cell r="G62">
            <v>371</v>
          </cell>
          <cell r="I62">
            <v>497</v>
          </cell>
          <cell r="K62">
            <v>0.74647887323943662</v>
          </cell>
        </row>
        <row r="63">
          <cell r="F63" t="str">
            <v>Mar</v>
          </cell>
          <cell r="G63">
            <v>472</v>
          </cell>
          <cell r="I63">
            <v>612</v>
          </cell>
          <cell r="K63">
            <v>0.77124183006535951</v>
          </cell>
        </row>
        <row r="64">
          <cell r="F64" t="str">
            <v>Apr</v>
          </cell>
          <cell r="G64">
            <v>515</v>
          </cell>
          <cell r="I64">
            <v>708</v>
          </cell>
          <cell r="K64">
            <v>0.72740112994350281</v>
          </cell>
        </row>
        <row r="65">
          <cell r="F65" t="str">
            <v>May</v>
          </cell>
          <cell r="G65">
            <v>410</v>
          </cell>
          <cell r="I65">
            <v>654</v>
          </cell>
          <cell r="K65">
            <v>0.62691131498470953</v>
          </cell>
        </row>
        <row r="66">
          <cell r="F66" t="str">
            <v>Jun</v>
          </cell>
          <cell r="G66">
            <v>295</v>
          </cell>
          <cell r="I66">
            <v>602</v>
          </cell>
          <cell r="K66">
            <v>0.49003322259136212</v>
          </cell>
        </row>
        <row r="67">
          <cell r="F67" t="str">
            <v>Jul</v>
          </cell>
          <cell r="G67">
            <v>432</v>
          </cell>
          <cell r="I67">
            <v>735</v>
          </cell>
          <cell r="K67">
            <v>0.58775510204081638</v>
          </cell>
        </row>
        <row r="68">
          <cell r="F68" t="str">
            <v>Aug</v>
          </cell>
          <cell r="G68">
            <v>467</v>
          </cell>
          <cell r="I68">
            <v>763</v>
          </cell>
          <cell r="K68">
            <v>0.61205766710353871</v>
          </cell>
        </row>
        <row r="69">
          <cell r="F69" t="str">
            <v>Sep</v>
          </cell>
          <cell r="G69">
            <v>467</v>
          </cell>
          <cell r="I69">
            <v>693</v>
          </cell>
          <cell r="K69">
            <v>0.67388167388167386</v>
          </cell>
        </row>
        <row r="70">
          <cell r="F70" t="str">
            <v>Oct</v>
          </cell>
          <cell r="G70">
            <v>525</v>
          </cell>
          <cell r="I70">
            <v>772</v>
          </cell>
          <cell r="K70">
            <v>0.68005181347150256</v>
          </cell>
        </row>
        <row r="71">
          <cell r="F71" t="str">
            <v>Nov</v>
          </cell>
          <cell r="G71">
            <v>386</v>
          </cell>
          <cell r="I71">
            <v>637</v>
          </cell>
          <cell r="K71">
            <v>0.60596546310832022</v>
          </cell>
        </row>
        <row r="72">
          <cell r="F72" t="str">
            <v>Dec</v>
          </cell>
        </row>
        <row r="76">
          <cell r="G76" t="str">
            <v>Customer</v>
          </cell>
          <cell r="I76" t="str">
            <v>Net</v>
          </cell>
          <cell r="K76" t="str">
            <v>Costomer</v>
          </cell>
        </row>
        <row r="77">
          <cell r="F77" t="str">
            <v>Mth</v>
          </cell>
          <cell r="G77" t="str">
            <v>Returns</v>
          </cell>
          <cell r="I77" t="str">
            <v>Shipment</v>
          </cell>
          <cell r="K77" t="str">
            <v>Return(%)</v>
          </cell>
        </row>
        <row r="78">
          <cell r="F78" t="str">
            <v>Jul'98</v>
          </cell>
          <cell r="G78">
            <v>44.716999999999999</v>
          </cell>
          <cell r="I78">
            <v>1578</v>
          </cell>
          <cell r="K78">
            <v>2.8337769328263623E-2</v>
          </cell>
        </row>
        <row r="79">
          <cell r="F79" t="str">
            <v>Aug</v>
          </cell>
          <cell r="G79">
            <v>16.599</v>
          </cell>
          <cell r="I79">
            <v>1726</v>
          </cell>
          <cell r="K79">
            <v>9.6170336037079956E-3</v>
          </cell>
        </row>
        <row r="80">
          <cell r="F80" t="str">
            <v>Sep</v>
          </cell>
          <cell r="G80">
            <v>1.81</v>
          </cell>
          <cell r="I80">
            <v>1865</v>
          </cell>
          <cell r="K80">
            <v>9.7050938337801612E-4</v>
          </cell>
        </row>
        <row r="81">
          <cell r="F81" t="str">
            <v>Oct</v>
          </cell>
          <cell r="G81">
            <v>60.703000000000003</v>
          </cell>
          <cell r="I81">
            <v>2079</v>
          </cell>
          <cell r="K81">
            <v>2.9198172198172199E-2</v>
          </cell>
        </row>
        <row r="82">
          <cell r="F82" t="str">
            <v>Nov</v>
          </cell>
          <cell r="G82">
            <v>27.190999999999999</v>
          </cell>
          <cell r="I82">
            <v>2045</v>
          </cell>
          <cell r="K82">
            <v>1.3296332518337407E-2</v>
          </cell>
        </row>
        <row r="83">
          <cell r="F83" t="str">
            <v>Dec</v>
          </cell>
          <cell r="G83">
            <v>22.24</v>
          </cell>
          <cell r="I83">
            <v>1986</v>
          </cell>
          <cell r="K83">
            <v>1.1198388721047331E-2</v>
          </cell>
        </row>
        <row r="84">
          <cell r="F84" t="str">
            <v>Jan'99</v>
          </cell>
          <cell r="G84">
            <v>3.55</v>
          </cell>
          <cell r="I84">
            <v>1612</v>
          </cell>
          <cell r="K84">
            <v>2.2022332506203474E-3</v>
          </cell>
        </row>
        <row r="85">
          <cell r="F85" t="str">
            <v>Feb</v>
          </cell>
          <cell r="G85">
            <v>11</v>
          </cell>
          <cell r="I85">
            <v>1627</v>
          </cell>
          <cell r="K85">
            <v>6.7609096496619543E-3</v>
          </cell>
        </row>
        <row r="86">
          <cell r="F86" t="str">
            <v>Mar</v>
          </cell>
          <cell r="G86">
            <v>12.39</v>
          </cell>
          <cell r="I86">
            <v>2260</v>
          </cell>
          <cell r="K86">
            <v>5.4823008849557526E-3</v>
          </cell>
        </row>
        <row r="87">
          <cell r="F87" t="str">
            <v>Apr</v>
          </cell>
          <cell r="G87">
            <v>22.658000000000001</v>
          </cell>
          <cell r="I87">
            <v>2214</v>
          </cell>
          <cell r="K87">
            <v>1.0233965672990064E-2</v>
          </cell>
        </row>
        <row r="88">
          <cell r="F88" t="str">
            <v>May</v>
          </cell>
          <cell r="G88">
            <v>13.057</v>
          </cell>
          <cell r="I88">
            <v>1905</v>
          </cell>
          <cell r="K88">
            <v>6.8540682414698169E-3</v>
          </cell>
        </row>
        <row r="89">
          <cell r="F89" t="str">
            <v>Jun</v>
          </cell>
          <cell r="G89">
            <v>40.020000000000003</v>
          </cell>
          <cell r="I89">
            <v>2157</v>
          </cell>
          <cell r="K89">
            <v>1.8553546592489572E-2</v>
          </cell>
        </row>
        <row r="90">
          <cell r="F90" t="str">
            <v>Jul</v>
          </cell>
          <cell r="G90">
            <v>15.144000000000005</v>
          </cell>
          <cell r="I90">
            <v>2334</v>
          </cell>
          <cell r="K90">
            <v>6.4884318766066859E-3</v>
          </cell>
        </row>
        <row r="91">
          <cell r="F91" t="str">
            <v>Aug</v>
          </cell>
          <cell r="G91">
            <v>18.190000000000001</v>
          </cell>
          <cell r="I91">
            <v>2127</v>
          </cell>
          <cell r="K91">
            <v>8.5519511048425013E-3</v>
          </cell>
        </row>
        <row r="92">
          <cell r="F92" t="str">
            <v>Sep</v>
          </cell>
          <cell r="G92">
            <v>10.59</v>
          </cell>
          <cell r="I92">
            <v>2375</v>
          </cell>
          <cell r="K92">
            <v>4.4589473684210528E-3</v>
          </cell>
        </row>
        <row r="93">
          <cell r="F93" t="str">
            <v>Oct</v>
          </cell>
          <cell r="G93">
            <v>8.92</v>
          </cell>
          <cell r="I93">
            <v>2088</v>
          </cell>
          <cell r="K93">
            <v>4.2720306513409963E-3</v>
          </cell>
        </row>
        <row r="94">
          <cell r="F94" t="str">
            <v>Nov</v>
          </cell>
          <cell r="G94">
            <v>10.234</v>
          </cell>
          <cell r="I94">
            <v>1643</v>
          </cell>
          <cell r="K94">
            <v>6.2288496652465001E-3</v>
          </cell>
        </row>
        <row r="95">
          <cell r="F95" t="str">
            <v>Dec'99</v>
          </cell>
          <cell r="G95">
            <v>99.62</v>
          </cell>
          <cell r="I95">
            <v>1756</v>
          </cell>
          <cell r="K95">
            <v>5.6731207289293852E-2</v>
          </cell>
        </row>
        <row r="96">
          <cell r="F96" t="str">
            <v>Jan'2000</v>
          </cell>
          <cell r="G96">
            <v>15.81</v>
          </cell>
          <cell r="I96">
            <v>1834</v>
          </cell>
          <cell r="K96">
            <v>8.6205016357688118E-3</v>
          </cell>
        </row>
        <row r="97">
          <cell r="F97" t="str">
            <v>Feb</v>
          </cell>
          <cell r="G97">
            <v>18.967999999999996</v>
          </cell>
          <cell r="I97">
            <v>1993</v>
          </cell>
          <cell r="K97">
            <v>9.5173105870546889E-3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_alcom"/>
      <sheetName val="analysis_alcom"/>
      <sheetName val="completed_alcom"/>
      <sheetName val="outstanding_alcom"/>
      <sheetName val="rate"/>
      <sheetName val="summary_aesb"/>
      <sheetName val="analysis_aesb"/>
      <sheetName val="outstanding_aes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"/>
      <sheetName val="1. P&amp;L"/>
      <sheetName val="2. Manufacturing"/>
      <sheetName val="3. exchange"/>
      <sheetName val="4. travelling"/>
      <sheetName val="5. expat benefits"/>
      <sheetName val="6. commission"/>
      <sheetName val="7. bonus"/>
      <sheetName val="9. W-Tax"/>
      <sheetName val="10. waste disposal"/>
      <sheetName val="11. analysis of provisions"/>
      <sheetName val="12. Form C Part P"/>
      <sheetName val="13. Banks"/>
      <sheetName val="14. import"/>
      <sheetName val="15. export"/>
      <sheetName val="16. capital items chrg off"/>
      <sheetName val="eohs exp"/>
      <sheetName val="membership &amp; licence"/>
      <sheetName val="miscellaneous"/>
      <sheetName val="computer software"/>
      <sheetName val="op supplies"/>
      <sheetName val="entertainment"/>
      <sheetName val="R&amp;M"/>
      <sheetName val="gifts &amp; samples"/>
      <sheetName val="office exp"/>
      <sheetName val="Paint development"/>
      <sheetName val="payables"/>
      <sheetName val="Raw mat"/>
      <sheetName val="bonus provision"/>
      <sheetName val="interest expenses"/>
      <sheetName val="promotion for export-detail"/>
      <sheetName val="promotion of export-summary"/>
      <sheetName val="sales"/>
      <sheetName val="COGSrecon"/>
      <sheetName val="P&amp;L"/>
      <sheetName val="asset addition 2001"/>
      <sheetName val="asset addition 2000"/>
      <sheetName val="DNote for insur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asterDirectCost permt"/>
      <sheetName val="RollingDirectCost permt"/>
      <sheetName val="PMR7&amp;8(W)"/>
      <sheetName val="Book3"/>
      <sheetName val="fg-17"/>
      <sheetName val="PMR7_8_W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g-17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ompany Info"/>
      <sheetName val="Exchange Rates 1.4"/>
      <sheetName val="RCMI-15"/>
      <sheetName val="3 months sales comparison(12)"/>
      <sheetName val="TaxRevised"/>
    </sheetNames>
    <sheetDataSet>
      <sheetData sheetId="0" refreshError="1">
        <row r="4">
          <cell r="C4" t="str">
            <v>Sheet  &amp;  Foil  Division</v>
          </cell>
        </row>
        <row r="5">
          <cell r="C5" t="str">
            <v>Analysis of Finished Goods</v>
          </cell>
        </row>
        <row r="6">
          <cell r="C6" t="str">
            <v xml:space="preserve">for </v>
          </cell>
          <cell r="D6" t="str">
            <v>MAR 1999</v>
          </cell>
        </row>
        <row r="8">
          <cell r="C8" t="str">
            <v>Products</v>
          </cell>
          <cell r="H8" t="str">
            <v>mt</v>
          </cell>
          <cell r="N8" t="str">
            <v xml:space="preserve">Metal cost </v>
          </cell>
          <cell r="T8" t="str">
            <v xml:space="preserve">Melt loss </v>
          </cell>
          <cell r="Z8" t="str">
            <v>Direct cost</v>
          </cell>
          <cell r="AF8" t="str">
            <v>Period cost</v>
          </cell>
        </row>
        <row r="10">
          <cell r="F10" t="str">
            <v>Op'ing</v>
          </cell>
          <cell r="G10" t="str">
            <v>Sample &amp;</v>
          </cell>
          <cell r="H10" t="str">
            <v>Prodn</v>
          </cell>
          <cell r="I10" t="str">
            <v>Cost of</v>
          </cell>
          <cell r="J10" t="str">
            <v>Closing</v>
          </cell>
          <cell r="L10" t="str">
            <v>Op'ing</v>
          </cell>
          <cell r="M10" t="str">
            <v>Sample &amp;</v>
          </cell>
          <cell r="N10" t="str">
            <v>Prodn</v>
          </cell>
          <cell r="O10" t="str">
            <v>Cost of</v>
          </cell>
          <cell r="P10" t="str">
            <v>Closing</v>
          </cell>
          <cell r="R10" t="str">
            <v>Op'ing</v>
          </cell>
          <cell r="S10" t="str">
            <v>Sample &amp;</v>
          </cell>
          <cell r="T10" t="str">
            <v>Prodn</v>
          </cell>
          <cell r="U10" t="str">
            <v>Cost of</v>
          </cell>
          <cell r="V10" t="str">
            <v>Closing</v>
          </cell>
          <cell r="X10" t="str">
            <v>Op'ing</v>
          </cell>
          <cell r="Y10" t="str">
            <v>Sample &amp;</v>
          </cell>
          <cell r="Z10" t="str">
            <v>Prodn</v>
          </cell>
          <cell r="AA10" t="str">
            <v>Cost of</v>
          </cell>
          <cell r="AB10" t="str">
            <v>Closing</v>
          </cell>
          <cell r="AD10" t="str">
            <v>Op'ing</v>
          </cell>
          <cell r="AE10" t="str">
            <v>Sample &amp;</v>
          </cell>
          <cell r="AF10" t="str">
            <v>Prodn</v>
          </cell>
          <cell r="AG10" t="str">
            <v>Cost of</v>
          </cell>
          <cell r="AH10" t="str">
            <v>Closing</v>
          </cell>
        </row>
        <row r="11">
          <cell r="F11" t="str">
            <v>Bal.</v>
          </cell>
          <cell r="G11" t="str">
            <v>scrapping</v>
          </cell>
          <cell r="I11" t="str">
            <v>Sales</v>
          </cell>
          <cell r="J11" t="str">
            <v>Balance</v>
          </cell>
          <cell r="L11" t="str">
            <v>Bal.</v>
          </cell>
          <cell r="M11" t="str">
            <v>scrapping</v>
          </cell>
          <cell r="O11" t="str">
            <v>Sales</v>
          </cell>
          <cell r="P11" t="str">
            <v>Balance</v>
          </cell>
          <cell r="R11" t="str">
            <v>Bal.</v>
          </cell>
          <cell r="S11" t="str">
            <v>scrapping</v>
          </cell>
          <cell r="U11" t="str">
            <v>Sales</v>
          </cell>
          <cell r="V11" t="str">
            <v>Balance</v>
          </cell>
          <cell r="X11" t="str">
            <v>Bal.</v>
          </cell>
          <cell r="Y11" t="str">
            <v>scrapping</v>
          </cell>
          <cell r="AA11" t="str">
            <v>Sales</v>
          </cell>
          <cell r="AB11" t="str">
            <v>Balance</v>
          </cell>
          <cell r="AD11" t="str">
            <v>Bal.</v>
          </cell>
          <cell r="AE11" t="str">
            <v>scrapping</v>
          </cell>
          <cell r="AG11" t="str">
            <v>Sales</v>
          </cell>
          <cell r="AH11" t="str">
            <v>Balance</v>
          </cell>
        </row>
        <row r="13">
          <cell r="C13" t="str">
            <v>Tread Plate</v>
          </cell>
          <cell r="F13">
            <v>11.249000000000001</v>
          </cell>
          <cell r="G13">
            <v>0</v>
          </cell>
          <cell r="H13">
            <v>33.72</v>
          </cell>
          <cell r="I13">
            <v>-37.140999999999998</v>
          </cell>
          <cell r="J13">
            <v>7.828000000000003</v>
          </cell>
          <cell r="L13">
            <v>57360</v>
          </cell>
          <cell r="M13">
            <v>0</v>
          </cell>
          <cell r="N13">
            <v>168947.95072186674</v>
          </cell>
          <cell r="O13">
            <v>-186913.28688120376</v>
          </cell>
          <cell r="P13">
            <v>39394.663840662979</v>
          </cell>
          <cell r="R13">
            <v>979</v>
          </cell>
          <cell r="S13">
            <v>0</v>
          </cell>
          <cell r="T13">
            <v>3468.3159960715693</v>
          </cell>
          <cell r="U13">
            <v>-3673.1473550689175</v>
          </cell>
          <cell r="V13">
            <v>774.16864100265184</v>
          </cell>
          <cell r="X13">
            <v>7313</v>
          </cell>
          <cell r="Y13">
            <v>0</v>
          </cell>
          <cell r="Z13">
            <v>18916.994141470037</v>
          </cell>
          <cell r="AA13">
            <v>-21663.995472621998</v>
          </cell>
          <cell r="AB13">
            <v>4565.9986688480385</v>
          </cell>
          <cell r="AD13">
            <v>7142</v>
          </cell>
          <cell r="AE13">
            <v>0</v>
          </cell>
          <cell r="AF13">
            <v>16565.115059852709</v>
          </cell>
          <cell r="AG13">
            <v>-19580.28776352575</v>
          </cell>
          <cell r="AH13">
            <v>4126.8272963269592</v>
          </cell>
        </row>
        <row r="14">
          <cell r="C14" t="str">
            <v>Flat sheet :</v>
          </cell>
        </row>
        <row r="15">
          <cell r="C15" t="str">
            <v xml:space="preserve"> - AQ 1 side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C16" t="str">
            <v xml:space="preserve"> - AQ 2 side</v>
          </cell>
          <cell r="F16">
            <v>2.4E-2</v>
          </cell>
          <cell r="G16">
            <v>0</v>
          </cell>
          <cell r="H16">
            <v>0</v>
          </cell>
          <cell r="I16">
            <v>0</v>
          </cell>
          <cell r="J16">
            <v>2.4E-2</v>
          </cell>
          <cell r="L16">
            <v>133</v>
          </cell>
          <cell r="M16">
            <v>0</v>
          </cell>
          <cell r="N16">
            <v>0</v>
          </cell>
          <cell r="O16">
            <v>0</v>
          </cell>
          <cell r="P16">
            <v>133</v>
          </cell>
          <cell r="R16">
            <v>4</v>
          </cell>
          <cell r="S16">
            <v>0</v>
          </cell>
          <cell r="T16">
            <v>0</v>
          </cell>
          <cell r="U16">
            <v>0</v>
          </cell>
          <cell r="V16">
            <v>4</v>
          </cell>
          <cell r="X16">
            <v>14</v>
          </cell>
          <cell r="Y16">
            <v>0</v>
          </cell>
          <cell r="Z16">
            <v>0</v>
          </cell>
          <cell r="AA16">
            <v>0</v>
          </cell>
          <cell r="AB16">
            <v>14</v>
          </cell>
          <cell r="AD16">
            <v>16</v>
          </cell>
          <cell r="AE16">
            <v>0</v>
          </cell>
          <cell r="AF16">
            <v>0</v>
          </cell>
          <cell r="AG16">
            <v>0</v>
          </cell>
          <cell r="AH16">
            <v>16</v>
          </cell>
        </row>
        <row r="17">
          <cell r="C17" t="str">
            <v xml:space="preserve"> - Others</v>
          </cell>
          <cell r="F17">
            <v>102.56</v>
          </cell>
          <cell r="G17">
            <v>-4.3970000000000002</v>
          </cell>
          <cell r="H17">
            <v>255.11699999999999</v>
          </cell>
          <cell r="I17">
            <v>-311.39800000000002</v>
          </cell>
          <cell r="J17">
            <v>41.881999999999948</v>
          </cell>
          <cell r="L17">
            <v>535759</v>
          </cell>
          <cell r="M17">
            <v>-22919.903402886113</v>
          </cell>
          <cell r="N17">
            <v>1312801.5476351008</v>
          </cell>
          <cell r="O17">
            <v>-1609157.31331132</v>
          </cell>
          <cell r="P17">
            <v>216483.33092089463</v>
          </cell>
          <cell r="R17">
            <v>10938</v>
          </cell>
          <cell r="S17">
            <v>-468.93902106084244</v>
          </cell>
          <cell r="T17">
            <v>29761.259423226416</v>
          </cell>
          <cell r="U17">
            <v>-35460.941215448249</v>
          </cell>
          <cell r="V17">
            <v>4769.3791867173277</v>
          </cell>
          <cell r="X17">
            <v>73684</v>
          </cell>
          <cell r="Y17">
            <v>-3116.4361154446178</v>
          </cell>
          <cell r="Z17">
            <v>176437.74739557927</v>
          </cell>
          <cell r="AA17">
            <v>-217722.37296764995</v>
          </cell>
          <cell r="AB17">
            <v>29282.938312484708</v>
          </cell>
          <cell r="AD17">
            <v>78506</v>
          </cell>
          <cell r="AE17">
            <v>-12096.13164976599</v>
          </cell>
          <cell r="AF17">
            <v>172478.95971667027</v>
          </cell>
          <cell r="AG17">
            <v>-210568.11391071632</v>
          </cell>
          <cell r="AH17">
            <v>28320.714156187954</v>
          </cell>
        </row>
        <row r="18">
          <cell r="C18" t="str">
            <v xml:space="preserve"> - Cladding</v>
          </cell>
          <cell r="F18">
            <v>44.176000000000002</v>
          </cell>
          <cell r="G18">
            <v>0</v>
          </cell>
          <cell r="H18">
            <v>214.71899999999999</v>
          </cell>
          <cell r="I18">
            <v>-252.911</v>
          </cell>
          <cell r="J18">
            <v>5.9839999999999804</v>
          </cell>
          <cell r="L18">
            <v>231092</v>
          </cell>
          <cell r="M18">
            <v>0</v>
          </cell>
          <cell r="N18">
            <v>1117061.8222158342</v>
          </cell>
          <cell r="O18">
            <v>-1316993.1104518389</v>
          </cell>
          <cell r="P18">
            <v>31160.711763995234</v>
          </cell>
          <cell r="R18">
            <v>5032</v>
          </cell>
          <cell r="S18">
            <v>0</v>
          </cell>
          <cell r="T18">
            <v>26284.821897881415</v>
          </cell>
          <cell r="U18">
            <v>-30592.976855540226</v>
          </cell>
          <cell r="V18">
            <v>723.84504234118867</v>
          </cell>
          <cell r="X18">
            <v>29595</v>
          </cell>
          <cell r="Y18">
            <v>0</v>
          </cell>
          <cell r="Z18">
            <v>145055.23489760616</v>
          </cell>
          <cell r="AA18">
            <v>-170613.43617369386</v>
          </cell>
          <cell r="AB18">
            <v>4036.7987239123031</v>
          </cell>
          <cell r="AD18">
            <v>28881</v>
          </cell>
          <cell r="AE18">
            <v>0</v>
          </cell>
          <cell r="AF18">
            <v>137947.48883957582</v>
          </cell>
          <cell r="AG18">
            <v>-162972.47896215052</v>
          </cell>
          <cell r="AH18">
            <v>3856.0098774252983</v>
          </cell>
        </row>
        <row r="19">
          <cell r="C19" t="str">
            <v xml:space="preserve"> - Painted</v>
          </cell>
          <cell r="F19">
            <v>0</v>
          </cell>
          <cell r="G19">
            <v>1.0269999999999999</v>
          </cell>
          <cell r="H19">
            <v>0</v>
          </cell>
          <cell r="I19">
            <v>0</v>
          </cell>
          <cell r="J19">
            <v>1.0269999999999999</v>
          </cell>
          <cell r="L19">
            <v>0</v>
          </cell>
          <cell r="M19">
            <v>5364.9034028861151</v>
          </cell>
          <cell r="N19">
            <v>0</v>
          </cell>
          <cell r="O19">
            <v>0</v>
          </cell>
          <cell r="P19">
            <v>5364.9034028861151</v>
          </cell>
          <cell r="R19">
            <v>0</v>
          </cell>
          <cell r="S19">
            <v>109.5293096723869</v>
          </cell>
          <cell r="T19">
            <v>0</v>
          </cell>
          <cell r="U19">
            <v>0</v>
          </cell>
          <cell r="V19">
            <v>109.5293096723869</v>
          </cell>
          <cell r="X19">
            <v>-1908</v>
          </cell>
          <cell r="Y19">
            <v>2645.8458268330733</v>
          </cell>
          <cell r="Z19">
            <v>988.22293311897931</v>
          </cell>
          <cell r="AA19">
            <v>0</v>
          </cell>
          <cell r="AB19">
            <v>1726.0687599520525</v>
          </cell>
          <cell r="AD19">
            <v>0</v>
          </cell>
          <cell r="AE19">
            <v>786.13164976599069</v>
          </cell>
          <cell r="AF19">
            <v>0</v>
          </cell>
          <cell r="AG19">
            <v>0</v>
          </cell>
          <cell r="AH19">
            <v>786.13164976599069</v>
          </cell>
        </row>
        <row r="20">
          <cell r="C20" t="str">
            <v xml:space="preserve"> - Total</v>
          </cell>
          <cell r="F20">
            <v>146.76</v>
          </cell>
          <cell r="G20">
            <v>-3.37</v>
          </cell>
          <cell r="H20">
            <v>469.83600000000001</v>
          </cell>
          <cell r="I20">
            <v>-564.30899999999997</v>
          </cell>
          <cell r="J20">
            <v>48.916999999999931</v>
          </cell>
          <cell r="L20">
            <v>766984</v>
          </cell>
          <cell r="M20">
            <v>-17555</v>
          </cell>
          <cell r="N20">
            <v>2429863.3698509349</v>
          </cell>
          <cell r="O20">
            <v>-2926150.4237631587</v>
          </cell>
          <cell r="P20">
            <v>253141.94608777598</v>
          </cell>
          <cell r="R20">
            <v>15974</v>
          </cell>
          <cell r="S20">
            <v>-359.40971138845555</v>
          </cell>
          <cell r="T20">
            <v>56046.081321107835</v>
          </cell>
          <cell r="U20">
            <v>-66053.918070988468</v>
          </cell>
          <cell r="V20">
            <v>5606.7535387309035</v>
          </cell>
          <cell r="X20">
            <v>101385</v>
          </cell>
          <cell r="Y20">
            <v>-470.59028861154457</v>
          </cell>
          <cell r="Z20">
            <v>322481.20522630442</v>
          </cell>
          <cell r="AA20">
            <v>-388335.80914134381</v>
          </cell>
          <cell r="AB20">
            <v>35059.805796349065</v>
          </cell>
          <cell r="AD20">
            <v>107403</v>
          </cell>
          <cell r="AE20">
            <v>-11310</v>
          </cell>
          <cell r="AF20">
            <v>310426.44855624612</v>
          </cell>
          <cell r="AG20">
            <v>-373540.59287286684</v>
          </cell>
          <cell r="AH20">
            <v>32978.855683379246</v>
          </cell>
        </row>
        <row r="22">
          <cell r="C22" t="str">
            <v>Coil :</v>
          </cell>
        </row>
        <row r="23">
          <cell r="C23" t="str">
            <v xml:space="preserve"> - Painted</v>
          </cell>
          <cell r="F23">
            <v>3.15</v>
          </cell>
          <cell r="G23">
            <v>0</v>
          </cell>
          <cell r="H23">
            <v>0</v>
          </cell>
          <cell r="I23">
            <v>0</v>
          </cell>
          <cell r="J23">
            <v>3.15</v>
          </cell>
          <cell r="L23">
            <v>16030</v>
          </cell>
          <cell r="M23">
            <v>0</v>
          </cell>
          <cell r="N23">
            <v>0</v>
          </cell>
          <cell r="O23">
            <v>0</v>
          </cell>
          <cell r="P23">
            <v>16030</v>
          </cell>
          <cell r="R23">
            <v>333</v>
          </cell>
          <cell r="S23">
            <v>0</v>
          </cell>
          <cell r="T23">
            <v>0</v>
          </cell>
          <cell r="U23">
            <v>0</v>
          </cell>
          <cell r="V23">
            <v>333</v>
          </cell>
          <cell r="X23">
            <v>-6237</v>
          </cell>
          <cell r="Y23">
            <v>3216</v>
          </cell>
          <cell r="Z23">
            <v>934.60781895105197</v>
          </cell>
          <cell r="AA23">
            <v>0</v>
          </cell>
          <cell r="AB23">
            <v>-2086.3921810489483</v>
          </cell>
          <cell r="AD23">
            <v>4350</v>
          </cell>
          <cell r="AE23">
            <v>0</v>
          </cell>
          <cell r="AF23">
            <v>1783.0002519767197</v>
          </cell>
          <cell r="AG23">
            <v>0</v>
          </cell>
          <cell r="AH23">
            <v>6133.0002519767195</v>
          </cell>
        </row>
        <row r="24">
          <cell r="C24" t="str">
            <v xml:space="preserve"> - Others</v>
          </cell>
          <cell r="F24">
            <v>107.52200000000001</v>
          </cell>
          <cell r="G24">
            <v>-10.679</v>
          </cell>
          <cell r="H24">
            <v>246.50399999999999</v>
          </cell>
          <cell r="I24">
            <v>-252.69800000000001</v>
          </cell>
          <cell r="J24">
            <v>90.648999999999972</v>
          </cell>
          <cell r="L24">
            <v>555144</v>
          </cell>
          <cell r="M24">
            <v>-55138</v>
          </cell>
          <cell r="N24">
            <v>1265874.7793292084</v>
          </cell>
          <cell r="O24">
            <v>-1299660.5217897121</v>
          </cell>
          <cell r="P24">
            <v>466220.25753949629</v>
          </cell>
          <cell r="R24">
            <v>10589</v>
          </cell>
          <cell r="S24">
            <v>-1051.6911050761705</v>
          </cell>
          <cell r="T24">
            <v>28491.255283093567</v>
          </cell>
          <cell r="U24">
            <v>-27988.426025730936</v>
          </cell>
          <cell r="V24">
            <v>10040.138152286461</v>
          </cell>
          <cell r="X24">
            <v>79609</v>
          </cell>
          <cell r="Y24">
            <v>-7906.3088949238299</v>
          </cell>
          <cell r="Z24">
            <v>184141.01329470691</v>
          </cell>
          <cell r="AA24">
            <v>-188296.9486100545</v>
          </cell>
          <cell r="AB24">
            <v>67546.755789728573</v>
          </cell>
          <cell r="AD24">
            <v>85263</v>
          </cell>
          <cell r="AE24">
            <v>-8469</v>
          </cell>
          <cell r="AF24">
            <v>192185.0297467011</v>
          </cell>
          <cell r="AG24">
            <v>-197964.34178522567</v>
          </cell>
          <cell r="AH24">
            <v>71014.687961475458</v>
          </cell>
        </row>
        <row r="25">
          <cell r="C25" t="str">
            <v xml:space="preserve"> - Total</v>
          </cell>
          <cell r="F25">
            <v>110.67200000000001</v>
          </cell>
          <cell r="G25">
            <v>-10.679</v>
          </cell>
          <cell r="H25">
            <v>246.50399999999999</v>
          </cell>
          <cell r="I25">
            <v>-252.69800000000001</v>
          </cell>
          <cell r="J25">
            <v>93.798999999999978</v>
          </cell>
          <cell r="L25">
            <v>571174</v>
          </cell>
          <cell r="M25">
            <v>-55138</v>
          </cell>
          <cell r="N25">
            <v>1265874.7793292084</v>
          </cell>
          <cell r="O25">
            <v>-1299660.5217897121</v>
          </cell>
          <cell r="P25">
            <v>482250.25753949629</v>
          </cell>
          <cell r="R25">
            <v>10922</v>
          </cell>
          <cell r="S25">
            <v>-1051.6911050761705</v>
          </cell>
          <cell r="T25">
            <v>28491.255283093567</v>
          </cell>
          <cell r="U25">
            <v>-27988.426025730936</v>
          </cell>
          <cell r="V25">
            <v>10373.138152286461</v>
          </cell>
          <cell r="X25">
            <v>73372</v>
          </cell>
          <cell r="Y25">
            <v>-4690.3088949238299</v>
          </cell>
          <cell r="Z25">
            <v>185075.62111365795</v>
          </cell>
          <cell r="AA25">
            <v>-188296.9486100545</v>
          </cell>
          <cell r="AB25">
            <v>65460.363608679625</v>
          </cell>
          <cell r="AD25">
            <v>89613</v>
          </cell>
          <cell r="AE25">
            <v>-8469</v>
          </cell>
          <cell r="AF25">
            <v>193968.02999867781</v>
          </cell>
          <cell r="AG25">
            <v>-197964.34178522567</v>
          </cell>
          <cell r="AH25">
            <v>77147.688213452173</v>
          </cell>
        </row>
        <row r="26">
          <cell r="C26" t="str">
            <v>Reroll Coil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C27" t="str">
            <v>Circles :</v>
          </cell>
        </row>
        <row r="28">
          <cell r="C28" t="str">
            <v xml:space="preserve"> - AQ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C29" t="str">
            <v xml:space="preserve"> - Others</v>
          </cell>
          <cell r="F29">
            <v>16.579000000000001</v>
          </cell>
          <cell r="G29">
            <v>-2.173</v>
          </cell>
          <cell r="H29">
            <v>20.076000000000001</v>
          </cell>
          <cell r="I29">
            <v>-21.443000000000001</v>
          </cell>
          <cell r="J29">
            <v>13.038999999999998</v>
          </cell>
          <cell r="L29">
            <v>90703</v>
          </cell>
          <cell r="M29">
            <v>-11889</v>
          </cell>
          <cell r="N29">
            <v>113421.30224451923</v>
          </cell>
          <cell r="O29">
            <v>-119543.57595351854</v>
          </cell>
          <cell r="P29">
            <v>72691.726291000698</v>
          </cell>
          <cell r="R29">
            <v>2606</v>
          </cell>
          <cell r="S29">
            <v>-341.56692200977142</v>
          </cell>
          <cell r="T29">
            <v>3371.5344388965104</v>
          </cell>
          <cell r="U29">
            <v>-3504.7865977786191</v>
          </cell>
          <cell r="V29">
            <v>2131.1809191081197</v>
          </cell>
          <cell r="X29">
            <v>27862</v>
          </cell>
          <cell r="Y29">
            <v>-3651.4330779902284</v>
          </cell>
          <cell r="Z29">
            <v>41268.031029530401</v>
          </cell>
          <cell r="AA29">
            <v>-40718.565508812593</v>
          </cell>
          <cell r="AB29">
            <v>24760.032442727577</v>
          </cell>
          <cell r="AD29">
            <v>27116</v>
          </cell>
          <cell r="AE29">
            <v>-3554</v>
          </cell>
          <cell r="AF29">
            <v>41167.656774415249</v>
          </cell>
          <cell r="AG29">
            <v>-40252.828438425444</v>
          </cell>
          <cell r="AH29">
            <v>24476.828335989805</v>
          </cell>
        </row>
        <row r="30">
          <cell r="C30" t="str">
            <v xml:space="preserve"> - Total</v>
          </cell>
          <cell r="F30">
            <v>16.579000000000001</v>
          </cell>
          <cell r="G30">
            <v>-2.173</v>
          </cell>
          <cell r="H30">
            <v>20.076000000000001</v>
          </cell>
          <cell r="I30">
            <v>-21.443000000000001</v>
          </cell>
          <cell r="J30">
            <v>13.038999999999998</v>
          </cell>
          <cell r="L30">
            <v>90703</v>
          </cell>
          <cell r="M30">
            <v>-11889</v>
          </cell>
          <cell r="N30">
            <v>113421.30224451923</v>
          </cell>
          <cell r="O30">
            <v>-119543.57595351854</v>
          </cell>
          <cell r="P30">
            <v>72691.726291000698</v>
          </cell>
          <cell r="R30">
            <v>2606</v>
          </cell>
          <cell r="S30">
            <v>-341.56692200977142</v>
          </cell>
          <cell r="T30">
            <v>3371.5344388965104</v>
          </cell>
          <cell r="U30">
            <v>-3504.7865977786191</v>
          </cell>
          <cell r="V30">
            <v>2131.1809191081197</v>
          </cell>
          <cell r="X30">
            <v>27862</v>
          </cell>
          <cell r="Y30">
            <v>-3651.4330779902284</v>
          </cell>
          <cell r="Z30">
            <v>41268.031029530401</v>
          </cell>
          <cell r="AA30">
            <v>-40718.565508812593</v>
          </cell>
          <cell r="AB30">
            <v>24760.032442727577</v>
          </cell>
          <cell r="AD30">
            <v>27116</v>
          </cell>
          <cell r="AE30">
            <v>-3554</v>
          </cell>
          <cell r="AF30">
            <v>41167.656774415249</v>
          </cell>
          <cell r="AG30">
            <v>-40252.828438425444</v>
          </cell>
          <cell r="AH30">
            <v>24476.828335989805</v>
          </cell>
        </row>
        <row r="32">
          <cell r="C32" t="str">
            <v>Total Sheet</v>
          </cell>
          <cell r="F32">
            <v>285.26</v>
          </cell>
          <cell r="G32">
            <v>-16.222000000000001</v>
          </cell>
          <cell r="H32">
            <v>770.13600000000008</v>
          </cell>
          <cell r="I32">
            <v>-875.59099999999989</v>
          </cell>
          <cell r="J32">
            <v>163.58299999999991</v>
          </cell>
          <cell r="L32">
            <v>1486221</v>
          </cell>
          <cell r="M32">
            <v>-84582</v>
          </cell>
          <cell r="N32">
            <v>3978107.4021465299</v>
          </cell>
          <cell r="O32">
            <v>-4532267.8083875934</v>
          </cell>
          <cell r="P32">
            <v>847478.59375893592</v>
          </cell>
          <cell r="R32">
            <v>30481</v>
          </cell>
          <cell r="S32">
            <v>-1752.6677384743973</v>
          </cell>
          <cell r="T32">
            <v>91377.187039169483</v>
          </cell>
          <cell r="U32">
            <v>-101220.27804956693</v>
          </cell>
          <cell r="V32">
            <v>18885.241251128136</v>
          </cell>
          <cell r="X32">
            <v>209932</v>
          </cell>
          <cell r="Y32">
            <v>-8812.3322615256038</v>
          </cell>
          <cell r="Z32">
            <v>567741.85151096282</v>
          </cell>
          <cell r="AA32">
            <v>-639015.31873283291</v>
          </cell>
          <cell r="AB32">
            <v>129846.20051660431</v>
          </cell>
          <cell r="AD32">
            <v>231274</v>
          </cell>
          <cell r="AE32">
            <v>-23333</v>
          </cell>
          <cell r="AF32">
            <v>562127.2503891919</v>
          </cell>
          <cell r="AG32">
            <v>-631338.05086004362</v>
          </cell>
          <cell r="AH32">
            <v>138730.19952914817</v>
          </cell>
        </row>
        <row r="34">
          <cell r="C34" t="str">
            <v>Roofing Sheet :</v>
          </cell>
        </row>
        <row r="35">
          <cell r="C35" t="str">
            <v xml:space="preserve"> - 6P &amp; Alrib Plain</v>
          </cell>
          <cell r="F35">
            <v>6.2469999999999999</v>
          </cell>
          <cell r="G35">
            <v>-0.83399999999999996</v>
          </cell>
          <cell r="H35">
            <v>10.455</v>
          </cell>
          <cell r="I35">
            <v>-12.188000000000001</v>
          </cell>
          <cell r="J35">
            <v>3.6799999999999997</v>
          </cell>
          <cell r="L35">
            <v>32634</v>
          </cell>
          <cell r="M35">
            <v>-4356.7722106611172</v>
          </cell>
          <cell r="N35">
            <v>54337.14861388586</v>
          </cell>
          <cell r="O35">
            <v>-63455.005016542927</v>
          </cell>
          <cell r="P35">
            <v>19159.371386681814</v>
          </cell>
          <cell r="R35">
            <v>703</v>
          </cell>
          <cell r="S35">
            <v>-93.853369617416362</v>
          </cell>
          <cell r="T35">
            <v>1274.3187025593591</v>
          </cell>
          <cell r="U35">
            <v>-1446.6647011530374</v>
          </cell>
          <cell r="V35">
            <v>436.80063178890532</v>
          </cell>
          <cell r="X35">
            <v>7024</v>
          </cell>
          <cell r="Y35">
            <v>-937.7326716824075</v>
          </cell>
          <cell r="Z35">
            <v>9022.3279104391058</v>
          </cell>
          <cell r="AA35">
            <v>-11604.71129127594</v>
          </cell>
          <cell r="AB35">
            <v>3503.8839474807573</v>
          </cell>
          <cell r="AD35">
            <v>8042</v>
          </cell>
          <cell r="AE35">
            <v>-1073.6398271170162</v>
          </cell>
          <cell r="AF35">
            <v>7472.7820444198551</v>
          </cell>
          <cell r="AG35">
            <v>-11092.049492342261</v>
          </cell>
          <cell r="AH35">
            <v>3349.0927249605775</v>
          </cell>
        </row>
        <row r="36">
          <cell r="C36" t="str">
            <v xml:space="preserve"> - 6P &amp; Alrib Painted</v>
          </cell>
          <cell r="F36">
            <v>0.183</v>
          </cell>
          <cell r="G36">
            <v>0.83399999999999996</v>
          </cell>
          <cell r="H36">
            <v>0</v>
          </cell>
          <cell r="I36">
            <v>-1.0169999999999999</v>
          </cell>
          <cell r="J36">
            <v>0</v>
          </cell>
          <cell r="L36">
            <v>1933</v>
          </cell>
          <cell r="M36">
            <v>4356.7722106611172</v>
          </cell>
          <cell r="N36">
            <v>0</v>
          </cell>
          <cell r="O36">
            <v>-6289.7722106611172</v>
          </cell>
          <cell r="P36">
            <v>0</v>
          </cell>
          <cell r="R36">
            <v>188</v>
          </cell>
          <cell r="S36">
            <v>93.853369617416362</v>
          </cell>
          <cell r="T36">
            <v>0</v>
          </cell>
          <cell r="U36">
            <v>-281.85336961741638</v>
          </cell>
          <cell r="V36">
            <v>0</v>
          </cell>
          <cell r="X36">
            <v>797</v>
          </cell>
          <cell r="Y36">
            <v>-4186.2673283175927</v>
          </cell>
          <cell r="Z36">
            <v>7610</v>
          </cell>
          <cell r="AA36">
            <v>-4220.7326716824073</v>
          </cell>
          <cell r="AB36">
            <v>0</v>
          </cell>
          <cell r="AD36">
            <v>819</v>
          </cell>
          <cell r="AE36">
            <v>1073.6398271170162</v>
          </cell>
          <cell r="AF36">
            <v>0</v>
          </cell>
          <cell r="AG36">
            <v>-1892.6398271170162</v>
          </cell>
          <cell r="AH36">
            <v>0</v>
          </cell>
        </row>
        <row r="37">
          <cell r="C37" t="str">
            <v xml:space="preserve"> - Payung Plain</v>
          </cell>
          <cell r="F37">
            <v>23.803999999999998</v>
          </cell>
          <cell r="G37">
            <v>-1.327</v>
          </cell>
          <cell r="H37">
            <v>24.928000000000001</v>
          </cell>
          <cell r="I37">
            <v>-41.959000000000003</v>
          </cell>
          <cell r="J37">
            <v>5.445999999999998</v>
          </cell>
          <cell r="L37">
            <v>121216</v>
          </cell>
          <cell r="M37">
            <v>-6757</v>
          </cell>
          <cell r="N37">
            <v>123508.12744521248</v>
          </cell>
          <cell r="O37">
            <v>-210628.89358661894</v>
          </cell>
          <cell r="P37">
            <v>27338.233858593536</v>
          </cell>
          <cell r="R37">
            <v>2055</v>
          </cell>
          <cell r="S37">
            <v>-114.55994790791463</v>
          </cell>
          <cell r="T37">
            <v>2422.5845028540002</v>
          </cell>
          <cell r="U37">
            <v>-3861.7898386453503</v>
          </cell>
          <cell r="V37">
            <v>501.23471630073482</v>
          </cell>
          <cell r="X37">
            <v>28544</v>
          </cell>
          <cell r="Y37">
            <v>-1591.4400520920854</v>
          </cell>
          <cell r="Z37">
            <v>32750.801038402162</v>
          </cell>
          <cell r="AA37">
            <v>-52844.49580475867</v>
          </cell>
          <cell r="AB37">
            <v>6858.8651815514022</v>
          </cell>
          <cell r="AD37">
            <v>29094</v>
          </cell>
          <cell r="AE37">
            <v>-1622</v>
          </cell>
          <cell r="AF37">
            <v>28566.742810916519</v>
          </cell>
          <cell r="AG37">
            <v>-49600.877747141574</v>
          </cell>
          <cell r="AH37">
            <v>6437.8650637749452</v>
          </cell>
        </row>
        <row r="38">
          <cell r="C38" t="str">
            <v xml:space="preserve"> - Payung Painted</v>
          </cell>
        </row>
        <row r="40">
          <cell r="C40" t="str">
            <v>Total Roofing</v>
          </cell>
          <cell r="F40">
            <v>30.233999999999998</v>
          </cell>
          <cell r="G40">
            <v>-1.327</v>
          </cell>
          <cell r="H40">
            <v>35.383000000000003</v>
          </cell>
          <cell r="I40">
            <v>-55.164000000000001</v>
          </cell>
          <cell r="J40">
            <v>9.1259999999999977</v>
          </cell>
          <cell r="L40">
            <v>155783</v>
          </cell>
          <cell r="M40">
            <v>-6757</v>
          </cell>
          <cell r="N40">
            <v>177845.27605909834</v>
          </cell>
          <cell r="O40">
            <v>-280373.670813823</v>
          </cell>
          <cell r="P40">
            <v>46497.60524527535</v>
          </cell>
          <cell r="R40">
            <v>2946</v>
          </cell>
          <cell r="S40">
            <v>-114.55994790791463</v>
          </cell>
          <cell r="T40">
            <v>3696.9032054133595</v>
          </cell>
          <cell r="U40">
            <v>-5590.3079094158038</v>
          </cell>
          <cell r="V40">
            <v>938.03534808964014</v>
          </cell>
          <cell r="X40">
            <v>36365</v>
          </cell>
          <cell r="Y40">
            <v>-6715.4400520920854</v>
          </cell>
          <cell r="Z40">
            <v>49383.128948841266</v>
          </cell>
          <cell r="AA40">
            <v>-68669.93976771702</v>
          </cell>
          <cell r="AB40">
            <v>10362.74912903216</v>
          </cell>
          <cell r="AD40">
            <v>37955</v>
          </cell>
          <cell r="AE40">
            <v>-1622</v>
          </cell>
          <cell r="AF40">
            <v>36039.524855336378</v>
          </cell>
          <cell r="AG40">
            <v>-62585.567066600852</v>
          </cell>
          <cell r="AH40">
            <v>9786.9577887355226</v>
          </cell>
        </row>
        <row r="42">
          <cell r="C42" t="str">
            <v>Total Sheet &amp; Roofing</v>
          </cell>
          <cell r="F42">
            <v>315.49399999999997</v>
          </cell>
          <cell r="G42">
            <v>-17.548999999999999</v>
          </cell>
          <cell r="H42">
            <v>805.51900000000012</v>
          </cell>
          <cell r="I42">
            <v>-930.75499999999988</v>
          </cell>
          <cell r="J42">
            <v>172.70899999999992</v>
          </cell>
          <cell r="L42">
            <v>1642004</v>
          </cell>
          <cell r="M42">
            <v>-91339</v>
          </cell>
          <cell r="N42">
            <v>4155952.6782056284</v>
          </cell>
          <cell r="O42">
            <v>-4812641.4792014165</v>
          </cell>
          <cell r="P42">
            <v>893976.19900421123</v>
          </cell>
          <cell r="R42">
            <v>33427</v>
          </cell>
          <cell r="S42">
            <v>-1867.227686382312</v>
          </cell>
          <cell r="T42">
            <v>95074.09024458284</v>
          </cell>
          <cell r="U42">
            <v>-106810.58595898273</v>
          </cell>
          <cell r="V42">
            <v>19823.276599217777</v>
          </cell>
          <cell r="X42">
            <v>246297</v>
          </cell>
          <cell r="Y42">
            <v>-15527.77231361769</v>
          </cell>
          <cell r="Z42">
            <v>617124.98045980406</v>
          </cell>
          <cell r="AA42">
            <v>-707685.25850054994</v>
          </cell>
          <cell r="AB42">
            <v>140208.94964563646</v>
          </cell>
          <cell r="AD42">
            <v>269229</v>
          </cell>
          <cell r="AE42">
            <v>-24955</v>
          </cell>
          <cell r="AF42">
            <v>598166.77524452831</v>
          </cell>
          <cell r="AG42">
            <v>-693923.61792664451</v>
          </cell>
          <cell r="AH42">
            <v>148517.15731788368</v>
          </cell>
        </row>
        <row r="44">
          <cell r="C44" t="str">
            <v>Foil :</v>
          </cell>
        </row>
        <row r="45">
          <cell r="C45" t="str">
            <v xml:space="preserve"> - Cable</v>
          </cell>
          <cell r="F45">
            <v>21.273</v>
          </cell>
          <cell r="G45">
            <v>-0.60199999999999998</v>
          </cell>
          <cell r="H45">
            <v>43.975999999999999</v>
          </cell>
          <cell r="I45">
            <v>-64.647000000000006</v>
          </cell>
          <cell r="J45">
            <v>-1.4210854715202004E-14</v>
          </cell>
          <cell r="L45">
            <v>109386</v>
          </cell>
          <cell r="M45">
            <v>-3095</v>
          </cell>
          <cell r="N45">
            <v>232904.68326501275</v>
          </cell>
          <cell r="O45">
            <v>-339195.68326501275</v>
          </cell>
          <cell r="P45">
            <v>0</v>
          </cell>
          <cell r="R45">
            <v>1988</v>
          </cell>
          <cell r="S45">
            <v>-56.257979598552154</v>
          </cell>
          <cell r="T45">
            <v>5803.0018643933263</v>
          </cell>
          <cell r="U45">
            <v>-7734.7438847947742</v>
          </cell>
          <cell r="V45">
            <v>0</v>
          </cell>
          <cell r="X45">
            <v>15634</v>
          </cell>
          <cell r="Y45">
            <v>-442.74202040144786</v>
          </cell>
          <cell r="Z45">
            <v>43350.216242700473</v>
          </cell>
          <cell r="AA45">
            <v>-58541.474222299024</v>
          </cell>
          <cell r="AB45">
            <v>0</v>
          </cell>
          <cell r="AD45">
            <v>16294</v>
          </cell>
          <cell r="AE45">
            <v>-461</v>
          </cell>
          <cell r="AF45">
            <v>48563.761454408312</v>
          </cell>
          <cell r="AG45">
            <v>-64396.761454408312</v>
          </cell>
          <cell r="AH45">
            <v>0</v>
          </cell>
        </row>
        <row r="46">
          <cell r="C46" t="str">
            <v xml:space="preserve"> - Finstock</v>
          </cell>
          <cell r="F46">
            <v>174.18199999999999</v>
          </cell>
          <cell r="G46">
            <v>-7.4690000000000003</v>
          </cell>
          <cell r="H46">
            <v>500.88600000000002</v>
          </cell>
          <cell r="I46">
            <v>-452.33699999999999</v>
          </cell>
          <cell r="J46">
            <v>215.26200000000006</v>
          </cell>
          <cell r="L46">
            <v>909320</v>
          </cell>
          <cell r="M46">
            <v>-38992</v>
          </cell>
          <cell r="N46">
            <v>2561627.8393345838</v>
          </cell>
          <cell r="O46">
            <v>-2325348.9122917913</v>
          </cell>
          <cell r="P46">
            <v>1106606.9270427926</v>
          </cell>
          <cell r="R46">
            <v>19091</v>
          </cell>
          <cell r="S46">
            <v>-818.6303923482335</v>
          </cell>
          <cell r="T46">
            <v>56816.188414608318</v>
          </cell>
          <cell r="U46">
            <v>-50876.848332779198</v>
          </cell>
          <cell r="V46">
            <v>24211.709689480886</v>
          </cell>
          <cell r="X46">
            <v>187349</v>
          </cell>
          <cell r="Y46">
            <v>-8033.3696076517663</v>
          </cell>
          <cell r="Z46">
            <v>460728.6619108615</v>
          </cell>
          <cell r="AA46">
            <v>-433667.08914716321</v>
          </cell>
          <cell r="AB46">
            <v>206377.20315604645</v>
          </cell>
          <cell r="AD46">
            <v>199473</v>
          </cell>
          <cell r="AE46">
            <v>-8524</v>
          </cell>
          <cell r="AF46">
            <v>487808.39474148443</v>
          </cell>
          <cell r="AG46">
            <v>-459897.45890149451</v>
          </cell>
          <cell r="AH46">
            <v>218859.93583998992</v>
          </cell>
        </row>
        <row r="47">
          <cell r="C47" t="str">
            <v xml:space="preserve"> - Bare fin</v>
          </cell>
          <cell r="F47">
            <v>42.408999999999999</v>
          </cell>
          <cell r="G47">
            <v>-46.113999999999997</v>
          </cell>
          <cell r="H47">
            <v>770.08199999999999</v>
          </cell>
          <cell r="I47">
            <v>-744.03499999999997</v>
          </cell>
          <cell r="J47">
            <v>22.341999999999985</v>
          </cell>
          <cell r="L47">
            <v>217541</v>
          </cell>
          <cell r="M47">
            <v>-240739</v>
          </cell>
          <cell r="N47">
            <v>3960468.1096425559</v>
          </cell>
          <cell r="O47">
            <v>-3822487.8434868208</v>
          </cell>
          <cell r="P47">
            <v>114782.26615573512</v>
          </cell>
          <cell r="R47">
            <v>3889</v>
          </cell>
          <cell r="S47">
            <v>-4228.7567733264168</v>
          </cell>
          <cell r="T47">
            <v>89603.394286294089</v>
          </cell>
          <cell r="U47">
            <v>-86661.356665141182</v>
          </cell>
          <cell r="V47">
            <v>2602.2808478264924</v>
          </cell>
          <cell r="X47">
            <v>36959</v>
          </cell>
          <cell r="Y47">
            <v>-50425.243226673585</v>
          </cell>
          <cell r="Z47">
            <v>655930.06550045859</v>
          </cell>
          <cell r="AA47">
            <v>-623734.23263677745</v>
          </cell>
          <cell r="AB47">
            <v>18729.589637007564</v>
          </cell>
          <cell r="AD47">
            <v>42411</v>
          </cell>
          <cell r="AE47">
            <v>-52810</v>
          </cell>
          <cell r="AF47">
            <v>741739.70880120294</v>
          </cell>
          <cell r="AG47">
            <v>-710020.11317263311</v>
          </cell>
          <cell r="AH47">
            <v>21320.595628569834</v>
          </cell>
        </row>
        <row r="48">
          <cell r="C48" t="str">
            <v xml:space="preserve"> - Diap Prelube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  <row r="49">
          <cell r="C49" t="str">
            <v xml:space="preserve"> - Lacquered</v>
          </cell>
          <cell r="F49">
            <v>7.1779999999999999</v>
          </cell>
          <cell r="G49">
            <v>-0.53600000000000003</v>
          </cell>
          <cell r="H49">
            <v>49.262</v>
          </cell>
          <cell r="I49">
            <v>-39.935000000000002</v>
          </cell>
          <cell r="J49">
            <v>15.968999999999994</v>
          </cell>
          <cell r="L49">
            <v>37334</v>
          </cell>
          <cell r="M49">
            <v>-2904</v>
          </cell>
          <cell r="N49">
            <v>264354.57698534813</v>
          </cell>
          <cell r="O49">
            <v>-213436.64285041997</v>
          </cell>
          <cell r="P49">
            <v>85347.93413492816</v>
          </cell>
          <cell r="R49">
            <v>735</v>
          </cell>
          <cell r="S49">
            <v>-54.884368904987461</v>
          </cell>
          <cell r="T49">
            <v>6852.201927404757</v>
          </cell>
          <cell r="U49">
            <v>-5380.7080298133997</v>
          </cell>
          <cell r="V49">
            <v>2151.6095286863701</v>
          </cell>
          <cell r="X49">
            <v>-369934</v>
          </cell>
          <cell r="Y49">
            <v>-4667.1156310950128</v>
          </cell>
          <cell r="Z49">
            <v>149902.86925553897</v>
          </cell>
          <cell r="AA49">
            <v>-139444.59627999095</v>
          </cell>
          <cell r="AB49">
            <v>-364142.84265554696</v>
          </cell>
          <cell r="AD49">
            <v>12706</v>
          </cell>
          <cell r="AE49">
            <v>-4878</v>
          </cell>
          <cell r="AF49">
            <v>56476.136443041709</v>
          </cell>
          <cell r="AG49">
            <v>-45935.63410226228</v>
          </cell>
          <cell r="AH49">
            <v>18368.502340779429</v>
          </cell>
        </row>
        <row r="50">
          <cell r="C50" t="str">
            <v xml:space="preserve"> - Plain &gt; 30 um</v>
          </cell>
          <cell r="F50">
            <v>22.082999999999998</v>
          </cell>
          <cell r="G50">
            <v>-2.9180000000000001</v>
          </cell>
          <cell r="H50">
            <v>11.356</v>
          </cell>
          <cell r="I50">
            <v>-13.15</v>
          </cell>
          <cell r="J50">
            <v>17.371000000000002</v>
          </cell>
          <cell r="L50">
            <v>114672</v>
          </cell>
          <cell r="M50">
            <v>-15209.025540008151</v>
          </cell>
          <cell r="N50">
            <v>61828.50313926315</v>
          </cell>
          <cell r="O50">
            <v>-69492.57660070782</v>
          </cell>
          <cell r="P50">
            <v>91798.900998547164</v>
          </cell>
          <cell r="R50">
            <v>2279</v>
          </cell>
          <cell r="S50">
            <v>-301.1421455418195</v>
          </cell>
          <cell r="T50">
            <v>1670.0740561126142</v>
          </cell>
          <cell r="U50">
            <v>-1571.7147086925706</v>
          </cell>
          <cell r="V50">
            <v>2076.2172018782239</v>
          </cell>
          <cell r="X50">
            <v>21516</v>
          </cell>
          <cell r="Y50">
            <v>-3062.2355205361591</v>
          </cell>
          <cell r="Z50">
            <v>18854.331952815337</v>
          </cell>
          <cell r="AA50">
            <v>-16074.226535319</v>
          </cell>
          <cell r="AB50">
            <v>21233.869896960176</v>
          </cell>
          <cell r="AD50">
            <v>24715</v>
          </cell>
          <cell r="AE50">
            <v>-3400.1226735497894</v>
          </cell>
          <cell r="AF50">
            <v>22039.426256563416</v>
          </cell>
          <cell r="AG50">
            <v>-18679.240264625314</v>
          </cell>
          <cell r="AH50">
            <v>24675.063318388307</v>
          </cell>
        </row>
        <row r="51">
          <cell r="C51" t="str">
            <v xml:space="preserve"> - Plain 10-30</v>
          </cell>
          <cell r="F51">
            <v>0</v>
          </cell>
          <cell r="G51">
            <v>0.88200000000000001</v>
          </cell>
          <cell r="H51">
            <v>9.0960000000000001</v>
          </cell>
          <cell r="I51">
            <v>-9.9779999999999998</v>
          </cell>
          <cell r="J51">
            <v>0</v>
          </cell>
          <cell r="L51">
            <v>0</v>
          </cell>
          <cell r="M51">
            <v>4580.0255400081514</v>
          </cell>
          <cell r="N51">
            <v>51203.812014873562</v>
          </cell>
          <cell r="O51">
            <v>-55783.837554881713</v>
          </cell>
          <cell r="P51">
            <v>0</v>
          </cell>
          <cell r="R51">
            <v>0</v>
          </cell>
          <cell r="S51">
            <v>91.023773943757647</v>
          </cell>
          <cell r="T51">
            <v>1508.7432610664284</v>
          </cell>
          <cell r="U51">
            <v>-1599.7670350101862</v>
          </cell>
          <cell r="V51">
            <v>0</v>
          </cell>
          <cell r="X51">
            <v>0</v>
          </cell>
          <cell r="Y51">
            <v>859.35389213422093</v>
          </cell>
          <cell r="Z51">
            <v>39904.160698282853</v>
          </cell>
          <cell r="AA51">
            <v>-40763.514590417071</v>
          </cell>
          <cell r="AB51">
            <v>0</v>
          </cell>
          <cell r="AD51">
            <v>0</v>
          </cell>
          <cell r="AE51">
            <v>987.1226735497894</v>
          </cell>
          <cell r="AF51">
            <v>50938.520593927627</v>
          </cell>
          <cell r="AG51">
            <v>-51925.643267477419</v>
          </cell>
          <cell r="AH51">
            <v>0</v>
          </cell>
        </row>
        <row r="52">
          <cell r="C52" t="str">
            <v xml:space="preserve"> - Plain 6-9</v>
          </cell>
          <cell r="F52">
            <v>12.763</v>
          </cell>
          <cell r="G52">
            <v>0</v>
          </cell>
          <cell r="H52">
            <v>11.909000000000001</v>
          </cell>
          <cell r="I52">
            <v>-5.5830000000000002</v>
          </cell>
          <cell r="J52">
            <v>19.088999999999999</v>
          </cell>
          <cell r="K52" t="e">
            <v>#VALUE!</v>
          </cell>
          <cell r="L52">
            <v>69133</v>
          </cell>
          <cell r="M52">
            <v>0</v>
          </cell>
          <cell r="N52">
            <v>74698.735106447653</v>
          </cell>
          <cell r="O52">
            <v>-32547.526633402125</v>
          </cell>
          <cell r="P52">
            <v>111284.20847304552</v>
          </cell>
          <cell r="Q52">
            <v>0</v>
          </cell>
          <cell r="R52">
            <v>1731</v>
          </cell>
          <cell r="S52">
            <v>-91.023773943757647</v>
          </cell>
          <cell r="T52">
            <v>2755.1442067483667</v>
          </cell>
          <cell r="U52">
            <v>-994.56701428129588</v>
          </cell>
          <cell r="V52">
            <v>3400.5534185233137</v>
          </cell>
          <cell r="X52">
            <v>84551</v>
          </cell>
          <cell r="Y52">
            <v>0</v>
          </cell>
          <cell r="Z52">
            <v>48131.813639523083</v>
          </cell>
          <cell r="AA52">
            <v>-30024.64934133663</v>
          </cell>
          <cell r="AB52">
            <v>102658.16429818646</v>
          </cell>
          <cell r="AD52">
            <v>116153</v>
          </cell>
          <cell r="AE52">
            <v>0</v>
          </cell>
          <cell r="AF52">
            <v>59734.493891139449</v>
          </cell>
          <cell r="AG52">
            <v>-39801.389364227936</v>
          </cell>
          <cell r="AH52">
            <v>136086.10452691151</v>
          </cell>
        </row>
        <row r="53">
          <cell r="C53" t="str">
            <v>Total foil</v>
          </cell>
          <cell r="F53">
            <v>279.88799999999998</v>
          </cell>
          <cell r="G53">
            <v>-56.756999999999998</v>
          </cell>
          <cell r="H53">
            <v>1396.567</v>
          </cell>
          <cell r="I53">
            <v>-1329.6650000000002</v>
          </cell>
          <cell r="J53">
            <v>290.03300000000002</v>
          </cell>
          <cell r="L53">
            <v>1457386</v>
          </cell>
          <cell r="M53">
            <v>-296359</v>
          </cell>
          <cell r="N53">
            <v>7207086.2594880844</v>
          </cell>
          <cell r="O53">
            <v>-6858293.0226830356</v>
          </cell>
          <cell r="P53">
            <v>1509820.2368050485</v>
          </cell>
          <cell r="R53">
            <v>29713</v>
          </cell>
          <cell r="S53">
            <v>-5459.6716597200093</v>
          </cell>
          <cell r="T53">
            <v>165008.74801662791</v>
          </cell>
          <cell r="U53">
            <v>-154819.70567051257</v>
          </cell>
          <cell r="V53">
            <v>34442.370686395283</v>
          </cell>
          <cell r="X53">
            <v>-23925</v>
          </cell>
          <cell r="Y53">
            <v>-65771.352114223744</v>
          </cell>
          <cell r="Z53">
            <v>1416802.1192001808</v>
          </cell>
          <cell r="AA53">
            <v>-1342249.7827533032</v>
          </cell>
          <cell r="AB53">
            <v>-15144.015667346306</v>
          </cell>
          <cell r="AD53">
            <v>411752</v>
          </cell>
          <cell r="AE53">
            <v>-69086</v>
          </cell>
          <cell r="AF53">
            <v>1467300.4421817681</v>
          </cell>
          <cell r="AG53">
            <v>-1390656.2405271288</v>
          </cell>
          <cell r="AH53">
            <v>419310.20165463904</v>
          </cell>
        </row>
        <row r="55">
          <cell r="C55" t="str">
            <v>Total Rolled Products</v>
          </cell>
          <cell r="F55">
            <v>595.38199999999995</v>
          </cell>
          <cell r="G55">
            <v>-74.305999999999997</v>
          </cell>
          <cell r="H55">
            <v>2202.0860000000002</v>
          </cell>
          <cell r="I55">
            <v>-2260.42</v>
          </cell>
          <cell r="J55">
            <v>462.74199999999996</v>
          </cell>
          <cell r="L55">
            <v>3099390</v>
          </cell>
          <cell r="M55">
            <v>-387698</v>
          </cell>
          <cell r="N55">
            <v>11363038.937693713</v>
          </cell>
          <cell r="O55">
            <v>-11670934.501884453</v>
          </cell>
          <cell r="P55">
            <v>2403796.4358092598</v>
          </cell>
          <cell r="R55">
            <v>63140</v>
          </cell>
          <cell r="S55">
            <v>-7326.899346102321</v>
          </cell>
          <cell r="T55">
            <v>260082.83826121077</v>
          </cell>
          <cell r="U55">
            <v>-261630.2916294953</v>
          </cell>
          <cell r="V55">
            <v>54265.647285613057</v>
          </cell>
          <cell r="X55">
            <v>222372</v>
          </cell>
          <cell r="Y55">
            <v>-81299.124427841438</v>
          </cell>
          <cell r="Z55">
            <v>2033927.0996599849</v>
          </cell>
          <cell r="AA55">
            <v>-2049935.0412538531</v>
          </cell>
          <cell r="AB55">
            <v>125064.93397829015</v>
          </cell>
          <cell r="AD55">
            <v>680981</v>
          </cell>
          <cell r="AE55">
            <v>-94041</v>
          </cell>
          <cell r="AF55">
            <v>2065467.2174262963</v>
          </cell>
          <cell r="AG55">
            <v>-2084579.8584537734</v>
          </cell>
          <cell r="AH55">
            <v>567827.35897252266</v>
          </cell>
        </row>
        <row r="59">
          <cell r="C59" t="str">
            <v>Sheet  &amp;  Foil  Division</v>
          </cell>
        </row>
        <row r="60">
          <cell r="C60" t="str">
            <v>Analysis of Finished Goods</v>
          </cell>
        </row>
        <row r="61">
          <cell r="C61" t="str">
            <v xml:space="preserve">for </v>
          </cell>
          <cell r="D61" t="str">
            <v>MAR 1999</v>
          </cell>
        </row>
        <row r="63">
          <cell r="C63" t="str">
            <v>Products</v>
          </cell>
          <cell r="H63" t="str">
            <v>mt</v>
          </cell>
          <cell r="N63" t="str">
            <v>Metal cost / mt</v>
          </cell>
          <cell r="T63" t="str">
            <v>Melt loss / mt</v>
          </cell>
          <cell r="Z63" t="str">
            <v>Direct cost / mt</v>
          </cell>
          <cell r="AF63" t="str">
            <v>Period cost / mt</v>
          </cell>
        </row>
        <row r="65">
          <cell r="F65" t="str">
            <v>Op'ing</v>
          </cell>
          <cell r="G65" t="str">
            <v>Sample &amp;</v>
          </cell>
          <cell r="H65" t="str">
            <v>Prodn</v>
          </cell>
          <cell r="I65" t="str">
            <v>Cost of</v>
          </cell>
          <cell r="J65" t="str">
            <v>Closing</v>
          </cell>
          <cell r="L65" t="str">
            <v>Op'ing</v>
          </cell>
          <cell r="M65" t="str">
            <v>Sample &amp;</v>
          </cell>
          <cell r="N65" t="str">
            <v>Prodn</v>
          </cell>
          <cell r="O65" t="str">
            <v>Cost of</v>
          </cell>
          <cell r="P65" t="str">
            <v>Closing</v>
          </cell>
          <cell r="R65" t="str">
            <v>Op'ing</v>
          </cell>
          <cell r="S65" t="str">
            <v>Sample&amp;</v>
          </cell>
          <cell r="T65" t="str">
            <v>Prodn</v>
          </cell>
          <cell r="U65" t="str">
            <v>Cost of</v>
          </cell>
          <cell r="V65" t="str">
            <v>Closing</v>
          </cell>
          <cell r="X65" t="str">
            <v>Op'ing</v>
          </cell>
          <cell r="Y65" t="str">
            <v>Sample &amp;</v>
          </cell>
          <cell r="Z65" t="str">
            <v>Prodn</v>
          </cell>
          <cell r="AA65" t="str">
            <v>Cost of</v>
          </cell>
          <cell r="AB65" t="str">
            <v>Closing</v>
          </cell>
          <cell r="AD65" t="str">
            <v>Op'ing</v>
          </cell>
          <cell r="AE65" t="str">
            <v>Sample &amp;</v>
          </cell>
          <cell r="AF65" t="str">
            <v>Prodn</v>
          </cell>
          <cell r="AG65" t="str">
            <v>Cost of</v>
          </cell>
          <cell r="AH65" t="str">
            <v>Closing</v>
          </cell>
        </row>
        <row r="66">
          <cell r="F66" t="str">
            <v>Bal.</v>
          </cell>
          <cell r="G66" t="str">
            <v>scrapping</v>
          </cell>
          <cell r="I66" t="str">
            <v>Sales</v>
          </cell>
          <cell r="J66" t="str">
            <v>Balance</v>
          </cell>
          <cell r="L66" t="str">
            <v>Bal.</v>
          </cell>
          <cell r="M66" t="str">
            <v>scrapping</v>
          </cell>
          <cell r="O66" t="str">
            <v>Sales</v>
          </cell>
          <cell r="P66" t="str">
            <v>Balance</v>
          </cell>
          <cell r="R66" t="str">
            <v>Bal.</v>
          </cell>
          <cell r="S66" t="str">
            <v>scrapping</v>
          </cell>
          <cell r="U66" t="str">
            <v>Sales</v>
          </cell>
          <cell r="V66" t="str">
            <v>Balance</v>
          </cell>
          <cell r="X66" t="str">
            <v>Bal.</v>
          </cell>
          <cell r="Y66" t="str">
            <v>scrapping</v>
          </cell>
          <cell r="AA66" t="str">
            <v>Sales</v>
          </cell>
          <cell r="AB66" t="str">
            <v>Balance</v>
          </cell>
          <cell r="AD66" t="str">
            <v>Bal.</v>
          </cell>
          <cell r="AE66" t="str">
            <v>scrapping</v>
          </cell>
          <cell r="AG66" t="str">
            <v>Sales</v>
          </cell>
          <cell r="AH66" t="str">
            <v>Balance</v>
          </cell>
        </row>
        <row r="68">
          <cell r="C68" t="str">
            <v>Tread Plate</v>
          </cell>
          <cell r="F68">
            <v>11.249000000000001</v>
          </cell>
          <cell r="G68">
            <v>0</v>
          </cell>
          <cell r="H68">
            <v>33.72</v>
          </cell>
          <cell r="I68">
            <v>-37.140999999999998</v>
          </cell>
          <cell r="J68">
            <v>7.828000000000003</v>
          </cell>
          <cell r="L68">
            <v>5099.1199217708236</v>
          </cell>
          <cell r="M68" t="e">
            <v>#DIV/0!</v>
          </cell>
          <cell r="N68">
            <v>5010.3188233056571</v>
          </cell>
          <cell r="O68">
            <v>5032.5324272691569</v>
          </cell>
          <cell r="P68">
            <v>5032.5324272691578</v>
          </cell>
          <cell r="R68">
            <v>87.029958218508312</v>
          </cell>
          <cell r="S68" t="e">
            <v>#DIV/0!</v>
          </cell>
          <cell r="T68">
            <v>102.85634626546766</v>
          </cell>
          <cell r="U68">
            <v>98.897373658999967</v>
          </cell>
          <cell r="V68">
            <v>98.897373658999939</v>
          </cell>
          <cell r="X68">
            <v>650.10223130944973</v>
          </cell>
          <cell r="Y68" t="e">
            <v>#DIV/0!</v>
          </cell>
          <cell r="Z68">
            <v>561.00219873873186</v>
          </cell>
          <cell r="AA68">
            <v>583.29058109964728</v>
          </cell>
          <cell r="AB68">
            <v>583.29058109964706</v>
          </cell>
          <cell r="AD68">
            <v>634.90088007822919</v>
          </cell>
          <cell r="AE68" t="e">
            <v>#DIV/0!</v>
          </cell>
          <cell r="AF68">
            <v>491.25489501342554</v>
          </cell>
          <cell r="AG68">
            <v>527.18795303103718</v>
          </cell>
          <cell r="AH68">
            <v>527.18795303103695</v>
          </cell>
        </row>
        <row r="69">
          <cell r="C69" t="str">
            <v>Flat sheet :</v>
          </cell>
        </row>
        <row r="70">
          <cell r="C70" t="str">
            <v xml:space="preserve"> - AQ 1 side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L70" t="e">
            <v>#DIV/0!</v>
          </cell>
          <cell r="M70" t="e">
            <v>#DIV/0!</v>
          </cell>
          <cell r="N70" t="e">
            <v>#DIV/0!</v>
          </cell>
          <cell r="O70" t="e">
            <v>#DIV/0!</v>
          </cell>
          <cell r="P70" t="e">
            <v>#DIV/0!</v>
          </cell>
          <cell r="R70" t="e">
            <v>#DIV/0!</v>
          </cell>
          <cell r="S70" t="e">
            <v>#DIV/0!</v>
          </cell>
          <cell r="T70" t="e">
            <v>#DIV/0!</v>
          </cell>
          <cell r="U70" t="e">
            <v>#DIV/0!</v>
          </cell>
          <cell r="V70" t="e">
            <v>#DIV/0!</v>
          </cell>
          <cell r="X70" t="e">
            <v>#DIV/0!</v>
          </cell>
          <cell r="Y70" t="e">
            <v>#DIV/0!</v>
          </cell>
          <cell r="Z70" t="e">
            <v>#DIV/0!</v>
          </cell>
          <cell r="AA70" t="e">
            <v>#DIV/0!</v>
          </cell>
          <cell r="AB70" t="e">
            <v>#DIV/0!</v>
          </cell>
          <cell r="AD70" t="e">
            <v>#DIV/0!</v>
          </cell>
          <cell r="AE70" t="e">
            <v>#DIV/0!</v>
          </cell>
          <cell r="AF70" t="e">
            <v>#DIV/0!</v>
          </cell>
          <cell r="AG70" t="e">
            <v>#DIV/0!</v>
          </cell>
          <cell r="AH70" t="e">
            <v>#DIV/0!</v>
          </cell>
        </row>
        <row r="71">
          <cell r="C71" t="str">
            <v xml:space="preserve"> - AQ 2 side</v>
          </cell>
          <cell r="F71">
            <v>2.4E-2</v>
          </cell>
          <cell r="G71">
            <v>0</v>
          </cell>
          <cell r="H71">
            <v>0</v>
          </cell>
          <cell r="I71">
            <v>0</v>
          </cell>
          <cell r="J71">
            <v>2.4E-2</v>
          </cell>
          <cell r="L71">
            <v>5541.666666666667</v>
          </cell>
          <cell r="M71" t="e">
            <v>#DIV/0!</v>
          </cell>
          <cell r="N71" t="e">
            <v>#DIV/0!</v>
          </cell>
          <cell r="O71" t="e">
            <v>#DIV/0!</v>
          </cell>
          <cell r="P71">
            <v>5541.666666666667</v>
          </cell>
          <cell r="R71">
            <v>166.66666666666666</v>
          </cell>
          <cell r="S71" t="e">
            <v>#DIV/0!</v>
          </cell>
          <cell r="T71" t="e">
            <v>#DIV/0!</v>
          </cell>
          <cell r="U71" t="e">
            <v>#DIV/0!</v>
          </cell>
          <cell r="V71">
            <v>166.66666666666666</v>
          </cell>
          <cell r="X71">
            <v>583.33333333333337</v>
          </cell>
          <cell r="Y71" t="e">
            <v>#DIV/0!</v>
          </cell>
          <cell r="Z71" t="e">
            <v>#DIV/0!</v>
          </cell>
          <cell r="AA71" t="e">
            <v>#DIV/0!</v>
          </cell>
          <cell r="AB71">
            <v>583.33333333333337</v>
          </cell>
          <cell r="AD71">
            <v>666.66666666666663</v>
          </cell>
          <cell r="AE71" t="e">
            <v>#DIV/0!</v>
          </cell>
          <cell r="AF71" t="e">
            <v>#DIV/0!</v>
          </cell>
          <cell r="AG71" t="e">
            <v>#DIV/0!</v>
          </cell>
          <cell r="AH71">
            <v>666.66666666666663</v>
          </cell>
        </row>
        <row r="72">
          <cell r="C72" t="str">
            <v xml:space="preserve"> - Others</v>
          </cell>
          <cell r="F72">
            <v>102.56</v>
          </cell>
          <cell r="G72">
            <v>-4.3970000000000002</v>
          </cell>
          <cell r="H72">
            <v>255.11699999999999</v>
          </cell>
          <cell r="I72">
            <v>-311.39800000000002</v>
          </cell>
          <cell r="J72">
            <v>41.881999999999948</v>
          </cell>
          <cell r="L72">
            <v>5223.8592043681747</v>
          </cell>
          <cell r="M72">
            <v>5212.6230163488999</v>
          </cell>
          <cell r="N72">
            <v>5145.8803123080816</v>
          </cell>
          <cell r="O72">
            <v>5167.5261668710782</v>
          </cell>
          <cell r="P72">
            <v>5168.8871333960869</v>
          </cell>
          <cell r="R72">
            <v>106.64976599063962</v>
          </cell>
          <cell r="S72">
            <v>106.64976599063962</v>
          </cell>
          <cell r="T72">
            <v>116.65729615520101</v>
          </cell>
          <cell r="U72">
            <v>113.87658628330384</v>
          </cell>
          <cell r="V72">
            <v>113.87658628330389</v>
          </cell>
          <cell r="X72">
            <v>718.44773790951638</v>
          </cell>
          <cell r="Y72">
            <v>708.76418363534628</v>
          </cell>
          <cell r="Z72">
            <v>691.59541463555649</v>
          </cell>
          <cell r="AA72">
            <v>699.17717187538108</v>
          </cell>
          <cell r="AB72">
            <v>699.17717187538187</v>
          </cell>
          <cell r="AD72">
            <v>765.46411856474253</v>
          </cell>
          <cell r="AE72">
            <v>2750.9965089301772</v>
          </cell>
          <cell r="AF72">
            <v>676.07787688264705</v>
          </cell>
          <cell r="AG72">
            <v>676.20252509880061</v>
          </cell>
          <cell r="AH72">
            <v>676.20252509880117</v>
          </cell>
        </row>
        <row r="73">
          <cell r="C73" t="str">
            <v xml:space="preserve"> - Cladding</v>
          </cell>
          <cell r="F73">
            <v>44.176000000000002</v>
          </cell>
          <cell r="G73">
            <v>0</v>
          </cell>
          <cell r="H73">
            <v>214.71899999999999</v>
          </cell>
          <cell r="I73">
            <v>-252.911</v>
          </cell>
          <cell r="J73">
            <v>5.9839999999999804</v>
          </cell>
          <cell r="L73">
            <v>5231.1662441144508</v>
          </cell>
          <cell r="M73" t="e">
            <v>#DIV/0!</v>
          </cell>
          <cell r="N73">
            <v>5202.4358450618447</v>
          </cell>
          <cell r="O73">
            <v>5207.3381958548225</v>
          </cell>
          <cell r="P73">
            <v>5207.3381958548352</v>
          </cell>
          <cell r="R73">
            <v>113.90800434625136</v>
          </cell>
          <cell r="S73" t="e">
            <v>#DIV/0!</v>
          </cell>
          <cell r="T73">
            <v>122.41497910236828</v>
          </cell>
          <cell r="U73">
            <v>120.96340948215074</v>
          </cell>
          <cell r="V73">
            <v>120.96340948215091</v>
          </cell>
          <cell r="X73">
            <v>669.93390076059393</v>
          </cell>
          <cell r="Y73" t="e">
            <v>#DIV/0!</v>
          </cell>
          <cell r="Z73">
            <v>675.55845033558353</v>
          </cell>
          <cell r="AA73">
            <v>674.59871723133381</v>
          </cell>
          <cell r="AB73">
            <v>674.59871723133631</v>
          </cell>
          <cell r="AD73">
            <v>653.77127852227454</v>
          </cell>
          <cell r="AE73" t="e">
            <v>#DIV/0!</v>
          </cell>
          <cell r="AF73">
            <v>642.45590208400665</v>
          </cell>
          <cell r="AG73">
            <v>644.38667737722176</v>
          </cell>
          <cell r="AH73">
            <v>644.38667737722437</v>
          </cell>
        </row>
        <row r="74">
          <cell r="C74" t="str">
            <v xml:space="preserve"> - Painted</v>
          </cell>
          <cell r="F74">
            <v>0</v>
          </cell>
          <cell r="G74">
            <v>1.0269999999999999</v>
          </cell>
          <cell r="H74">
            <v>0</v>
          </cell>
          <cell r="I74">
            <v>0</v>
          </cell>
          <cell r="J74">
            <v>1.0269999999999999</v>
          </cell>
          <cell r="L74" t="e">
            <v>#DIV/0!</v>
          </cell>
          <cell r="M74">
            <v>5223.8592043681747</v>
          </cell>
          <cell r="N74" t="e">
            <v>#DIV/0!</v>
          </cell>
          <cell r="O74" t="e">
            <v>#DIV/0!</v>
          </cell>
          <cell r="P74">
            <v>5223.8592043681747</v>
          </cell>
          <cell r="R74" t="e">
            <v>#DIV/0!</v>
          </cell>
          <cell r="S74">
            <v>106.64976599063964</v>
          </cell>
          <cell r="T74" t="e">
            <v>#DIV/0!</v>
          </cell>
          <cell r="U74" t="e">
            <v>#DIV/0!</v>
          </cell>
          <cell r="V74">
            <v>106.64976599063964</v>
          </cell>
          <cell r="X74" t="e">
            <v>#DIV/0!</v>
          </cell>
          <cell r="Y74">
            <v>2576.2861020769947</v>
          </cell>
          <cell r="Z74" t="e">
            <v>#DIV/0!</v>
          </cell>
          <cell r="AA74" t="e">
            <v>#DIV/0!</v>
          </cell>
          <cell r="AB74">
            <v>1680.6901265355916</v>
          </cell>
          <cell r="AD74" t="e">
            <v>#DIV/0!</v>
          </cell>
          <cell r="AE74">
            <v>765.46411856474265</v>
          </cell>
          <cell r="AF74" t="e">
            <v>#DIV/0!</v>
          </cell>
          <cell r="AG74" t="e">
            <v>#DIV/0!</v>
          </cell>
          <cell r="AH74">
            <v>765.46411856474265</v>
          </cell>
        </row>
        <row r="75">
          <cell r="C75" t="str">
            <v xml:space="preserve"> - Total</v>
          </cell>
          <cell r="F75">
            <v>146.76</v>
          </cell>
          <cell r="G75">
            <v>-3.37</v>
          </cell>
          <cell r="H75">
            <v>469.83600000000001</v>
          </cell>
          <cell r="I75">
            <v>-564.30899999999997</v>
          </cell>
          <cell r="J75">
            <v>48.916999999999931</v>
          </cell>
          <cell r="L75">
            <v>5226.1106568547293</v>
          </cell>
          <cell r="M75">
            <v>5209.1988130563795</v>
          </cell>
          <cell r="N75">
            <v>5171.7266660088517</v>
          </cell>
          <cell r="O75">
            <v>5185.3690509333701</v>
          </cell>
          <cell r="P75">
            <v>5174.9278591854845</v>
          </cell>
          <cell r="R75">
            <v>108.84437176342328</v>
          </cell>
          <cell r="S75">
            <v>106.64976599063962</v>
          </cell>
          <cell r="T75">
            <v>119.28860564347524</v>
          </cell>
          <cell r="U75">
            <v>117.05274605045901</v>
          </cell>
          <cell r="V75">
            <v>114.61768993869026</v>
          </cell>
          <cell r="X75">
            <v>690.82174979558465</v>
          </cell>
          <cell r="Y75">
            <v>139.64103519630402</v>
          </cell>
          <cell r="Z75">
            <v>686.36972310828548</v>
          </cell>
          <cell r="AA75">
            <v>688.16164395985857</v>
          </cell>
          <cell r="AB75">
            <v>716.7202771296096</v>
          </cell>
          <cell r="AD75">
            <v>731.82747342600169</v>
          </cell>
          <cell r="AE75">
            <v>3356.0830860534124</v>
          </cell>
          <cell r="AF75">
            <v>660.71235187649756</v>
          </cell>
          <cell r="AG75">
            <v>661.94335527674889</v>
          </cell>
          <cell r="AH75">
            <v>674.17984920128572</v>
          </cell>
        </row>
        <row r="77">
          <cell r="C77" t="str">
            <v>Coil :</v>
          </cell>
        </row>
        <row r="78">
          <cell r="C78" t="str">
            <v xml:space="preserve"> - Painted</v>
          </cell>
          <cell r="F78">
            <v>3.15</v>
          </cell>
          <cell r="G78">
            <v>0</v>
          </cell>
          <cell r="H78">
            <v>0</v>
          </cell>
          <cell r="I78">
            <v>0</v>
          </cell>
          <cell r="J78">
            <v>3.15</v>
          </cell>
          <cell r="L78">
            <v>5088.8888888888887</v>
          </cell>
          <cell r="M78" t="e">
            <v>#DIV/0!</v>
          </cell>
          <cell r="N78" t="e">
            <v>#DIV/0!</v>
          </cell>
          <cell r="O78" t="e">
            <v>#DIV/0!</v>
          </cell>
          <cell r="P78">
            <v>5088.8888888888887</v>
          </cell>
          <cell r="R78">
            <v>105.71428571428572</v>
          </cell>
          <cell r="S78" t="e">
            <v>#DIV/0!</v>
          </cell>
          <cell r="T78" t="e">
            <v>#DIV/0!</v>
          </cell>
          <cell r="U78" t="e">
            <v>#DIV/0!</v>
          </cell>
          <cell r="V78">
            <v>105.71428571428572</v>
          </cell>
          <cell r="X78">
            <v>-1980</v>
          </cell>
          <cell r="Y78" t="e">
            <v>#DIV/0!</v>
          </cell>
          <cell r="Z78" t="e">
            <v>#DIV/0!</v>
          </cell>
          <cell r="AA78" t="e">
            <v>#DIV/0!</v>
          </cell>
          <cell r="AB78">
            <v>-662.34672414252327</v>
          </cell>
          <cell r="AD78">
            <v>1380.952380952381</v>
          </cell>
          <cell r="AE78" t="e">
            <v>#DIV/0!</v>
          </cell>
          <cell r="AF78" t="e">
            <v>#DIV/0!</v>
          </cell>
          <cell r="AG78" t="e">
            <v>#DIV/0!</v>
          </cell>
          <cell r="AH78">
            <v>1946.9842069767365</v>
          </cell>
        </row>
        <row r="79">
          <cell r="C79" t="str">
            <v xml:space="preserve"> - Others</v>
          </cell>
          <cell r="F79">
            <v>107.52200000000001</v>
          </cell>
          <cell r="G79">
            <v>-10.679</v>
          </cell>
          <cell r="H79">
            <v>246.50399999999999</v>
          </cell>
          <cell r="I79">
            <v>-252.69800000000001</v>
          </cell>
          <cell r="J79">
            <v>90.648999999999972</v>
          </cell>
          <cell r="L79">
            <v>5163.0736035416003</v>
          </cell>
          <cell r="M79">
            <v>5163.2175297312479</v>
          </cell>
          <cell r="N79">
            <v>5135.3113106854589</v>
          </cell>
          <cell r="O79">
            <v>5143.1373488896315</v>
          </cell>
          <cell r="P79">
            <v>5143.1373488896343</v>
          </cell>
          <cell r="R79">
            <v>98.482171090567505</v>
          </cell>
          <cell r="S79">
            <v>98.482171090567519</v>
          </cell>
          <cell r="T79">
            <v>115.58131017384532</v>
          </cell>
          <cell r="U79">
            <v>110.75839945599465</v>
          </cell>
          <cell r="V79">
            <v>110.75839945599471</v>
          </cell>
          <cell r="X79">
            <v>740.39731403805729</v>
          </cell>
          <cell r="Y79">
            <v>740.36041716675993</v>
          </cell>
          <cell r="Z79">
            <v>747.01024443703511</v>
          </cell>
          <cell r="AA79">
            <v>745.14617689912268</v>
          </cell>
          <cell r="AB79">
            <v>745.14617689912291</v>
          </cell>
          <cell r="AD79">
            <v>792.9819013783225</v>
          </cell>
          <cell r="AE79">
            <v>793.05178387489468</v>
          </cell>
          <cell r="AF79">
            <v>779.64264168817181</v>
          </cell>
          <cell r="AG79">
            <v>783.40288322513697</v>
          </cell>
          <cell r="AH79">
            <v>783.40288322513743</v>
          </cell>
        </row>
        <row r="80">
          <cell r="C80" t="str">
            <v xml:space="preserve"> - Total</v>
          </cell>
          <cell r="F80">
            <v>110.67200000000001</v>
          </cell>
          <cell r="G80">
            <v>-10.679</v>
          </cell>
          <cell r="H80">
            <v>246.50399999999999</v>
          </cell>
          <cell r="I80">
            <v>-252.69800000000001</v>
          </cell>
          <cell r="J80">
            <v>93.798999999999978</v>
          </cell>
          <cell r="L80">
            <v>5160.9621223073582</v>
          </cell>
          <cell r="M80">
            <v>5163.2175297312479</v>
          </cell>
          <cell r="N80">
            <v>5135.3113106854589</v>
          </cell>
          <cell r="O80">
            <v>5143.1373488896315</v>
          </cell>
          <cell r="P80">
            <v>5141.3155528256848</v>
          </cell>
          <cell r="R80">
            <v>98.688015035419966</v>
          </cell>
          <cell r="S80">
            <v>98.482171090567519</v>
          </cell>
          <cell r="T80">
            <v>115.58131017384532</v>
          </cell>
          <cell r="U80">
            <v>110.75839945599465</v>
          </cell>
          <cell r="V80">
            <v>110.58900577070612</v>
          </cell>
          <cell r="X80">
            <v>662.96804973254291</v>
          </cell>
          <cell r="Y80">
            <v>439.20862392769266</v>
          </cell>
          <cell r="Z80">
            <v>750.80169536258222</v>
          </cell>
          <cell r="AA80">
            <v>745.14617689912268</v>
          </cell>
          <cell r="AB80">
            <v>697.87912033901898</v>
          </cell>
          <cell r="AD80">
            <v>809.71700159028467</v>
          </cell>
          <cell r="AE80">
            <v>793.05178387489468</v>
          </cell>
          <cell r="AF80">
            <v>786.87579105685029</v>
          </cell>
          <cell r="AG80">
            <v>783.40288322513697</v>
          </cell>
          <cell r="AH80">
            <v>822.47879202819001</v>
          </cell>
        </row>
        <row r="81">
          <cell r="C81" t="str">
            <v>Reroll Coil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 t="e">
            <v>#DIV/0!</v>
          </cell>
          <cell r="M81" t="e">
            <v>#DIV/0!</v>
          </cell>
          <cell r="N81" t="e">
            <v>#DIV/0!</v>
          </cell>
          <cell r="O81" t="e">
            <v>#DIV/0!</v>
          </cell>
          <cell r="P81" t="e">
            <v>#DIV/0!</v>
          </cell>
          <cell r="R81" t="e">
            <v>#DIV/0!</v>
          </cell>
          <cell r="S81" t="e">
            <v>#DIV/0!</v>
          </cell>
          <cell r="T81" t="e">
            <v>#DIV/0!</v>
          </cell>
          <cell r="U81" t="e">
            <v>#DIV/0!</v>
          </cell>
          <cell r="V81" t="e">
            <v>#DIV/0!</v>
          </cell>
          <cell r="X81" t="e">
            <v>#DIV/0!</v>
          </cell>
          <cell r="Y81" t="e">
            <v>#DIV/0!</v>
          </cell>
          <cell r="Z81" t="e">
            <v>#DIV/0!</v>
          </cell>
          <cell r="AA81" t="e">
            <v>#DIV/0!</v>
          </cell>
          <cell r="AB81" t="e">
            <v>#DIV/0!</v>
          </cell>
          <cell r="AD81" t="e">
            <v>#DIV/0!</v>
          </cell>
          <cell r="AE81" t="e">
            <v>#DIV/0!</v>
          </cell>
          <cell r="AF81" t="e">
            <v>#DIV/0!</v>
          </cell>
          <cell r="AG81" t="e">
            <v>#DIV/0!</v>
          </cell>
          <cell r="AH81" t="e">
            <v>#DIV/0!</v>
          </cell>
        </row>
        <row r="82">
          <cell r="C82" t="str">
            <v>Circles :</v>
          </cell>
        </row>
        <row r="83">
          <cell r="C83" t="str">
            <v xml:space="preserve"> - AQ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 t="e">
            <v>#DIV/0!</v>
          </cell>
          <cell r="M83" t="e">
            <v>#DIV/0!</v>
          </cell>
          <cell r="N83" t="e">
            <v>#DIV/0!</v>
          </cell>
          <cell r="O83" t="e">
            <v>#DIV/0!</v>
          </cell>
          <cell r="P83" t="e">
            <v>#DIV/0!</v>
          </cell>
          <cell r="R83" t="e">
            <v>#DIV/0!</v>
          </cell>
          <cell r="S83" t="e">
            <v>#DIV/0!</v>
          </cell>
          <cell r="T83" t="e">
            <v>#DIV/0!</v>
          </cell>
          <cell r="U83" t="e">
            <v>#DIV/0!</v>
          </cell>
          <cell r="V83" t="e">
            <v>#DIV/0!</v>
          </cell>
          <cell r="X83" t="e">
            <v>#DIV/0!</v>
          </cell>
          <cell r="Y83" t="e">
            <v>#DIV/0!</v>
          </cell>
          <cell r="Z83" t="e">
            <v>#DIV/0!</v>
          </cell>
          <cell r="AA83" t="e">
            <v>#DIV/0!</v>
          </cell>
          <cell r="AB83" t="e">
            <v>#DIV/0!</v>
          </cell>
          <cell r="AD83" t="e">
            <v>#DIV/0!</v>
          </cell>
          <cell r="AE83" t="e">
            <v>#DIV/0!</v>
          </cell>
          <cell r="AF83" t="e">
            <v>#DIV/0!</v>
          </cell>
          <cell r="AG83" t="e">
            <v>#DIV/0!</v>
          </cell>
          <cell r="AH83" t="e">
            <v>#DIV/0!</v>
          </cell>
        </row>
        <row r="84">
          <cell r="C84" t="str">
            <v xml:space="preserve"> - Others</v>
          </cell>
          <cell r="F84">
            <v>16.579000000000001</v>
          </cell>
          <cell r="G84">
            <v>-2.173</v>
          </cell>
          <cell r="H84">
            <v>20.076000000000001</v>
          </cell>
          <cell r="I84">
            <v>-21.443000000000001</v>
          </cell>
          <cell r="J84">
            <v>13.038999999999998</v>
          </cell>
          <cell r="L84">
            <v>5470.9572350563967</v>
          </cell>
          <cell r="M84">
            <v>5471.2379199263687</v>
          </cell>
          <cell r="N84">
            <v>5649.5966449750567</v>
          </cell>
          <cell r="O84">
            <v>5574.9464139121637</v>
          </cell>
          <cell r="P84">
            <v>5574.9464139121646</v>
          </cell>
          <cell r="R84">
            <v>157.18680258157909</v>
          </cell>
          <cell r="S84">
            <v>157.18680258157912</v>
          </cell>
          <cell r="T84">
            <v>167.93855543417564</v>
          </cell>
          <cell r="U84">
            <v>163.44665381609937</v>
          </cell>
          <cell r="V84">
            <v>163.4466538160994</v>
          </cell>
          <cell r="X84">
            <v>1680.5597442547801</v>
          </cell>
          <cell r="Y84">
            <v>1680.3649691625533</v>
          </cell>
          <cell r="Z84">
            <v>2055.5903083049611</v>
          </cell>
          <cell r="AA84">
            <v>1898.9211168592358</v>
          </cell>
          <cell r="AB84">
            <v>1898.9211168592362</v>
          </cell>
          <cell r="AD84">
            <v>1635.5630617045661</v>
          </cell>
          <cell r="AE84">
            <v>1635.5269213069489</v>
          </cell>
          <cell r="AF84">
            <v>2050.5905944618075</v>
          </cell>
          <cell r="AG84">
            <v>1877.2013448876296</v>
          </cell>
          <cell r="AH84">
            <v>1877.2013448876301</v>
          </cell>
        </row>
        <row r="85">
          <cell r="C85" t="str">
            <v xml:space="preserve"> - Total</v>
          </cell>
          <cell r="F85">
            <v>16.579000000000001</v>
          </cell>
          <cell r="G85">
            <v>-2.173</v>
          </cell>
          <cell r="H85">
            <v>20.076000000000001</v>
          </cell>
          <cell r="I85">
            <v>-21.443000000000001</v>
          </cell>
          <cell r="J85">
            <v>13.038999999999998</v>
          </cell>
          <cell r="L85">
            <v>5470.9572350563967</v>
          </cell>
          <cell r="M85">
            <v>5471.2379199263687</v>
          </cell>
          <cell r="N85">
            <v>5649.5966449750567</v>
          </cell>
          <cell r="O85">
            <v>5574.9464139121637</v>
          </cell>
          <cell r="P85">
            <v>5574.9464139121646</v>
          </cell>
          <cell r="R85">
            <v>157.18680258157909</v>
          </cell>
          <cell r="S85">
            <v>157.18680258157912</v>
          </cell>
          <cell r="T85">
            <v>167.93855543417564</v>
          </cell>
          <cell r="U85">
            <v>163.44665381609937</v>
          </cell>
          <cell r="V85">
            <v>163.4466538160994</v>
          </cell>
          <cell r="X85">
            <v>1680.5597442547801</v>
          </cell>
          <cell r="Y85">
            <v>1680.3649691625533</v>
          </cell>
          <cell r="Z85">
            <v>2055.5903083049611</v>
          </cell>
          <cell r="AA85">
            <v>1898.9211168592358</v>
          </cell>
          <cell r="AB85">
            <v>1898.9211168592362</v>
          </cell>
          <cell r="AD85">
            <v>1635.5630617045661</v>
          </cell>
          <cell r="AE85">
            <v>1635.5269213069489</v>
          </cell>
          <cell r="AF85">
            <v>2050.5905944618075</v>
          </cell>
          <cell r="AG85">
            <v>1877.2013448876296</v>
          </cell>
          <cell r="AH85">
            <v>1877.2013448876301</v>
          </cell>
        </row>
        <row r="87">
          <cell r="C87" t="str">
            <v>Total Sheet</v>
          </cell>
          <cell r="F87">
            <v>285.26</v>
          </cell>
          <cell r="G87">
            <v>-16.222000000000001</v>
          </cell>
          <cell r="H87">
            <v>770.13600000000008</v>
          </cell>
          <cell r="I87">
            <v>-875.59099999999989</v>
          </cell>
          <cell r="J87">
            <v>163.58299999999991</v>
          </cell>
          <cell r="L87">
            <v>5210.057491411344</v>
          </cell>
          <cell r="M87">
            <v>5214.0303291825912</v>
          </cell>
          <cell r="N87">
            <v>5165.4609083934911</v>
          </cell>
          <cell r="O87">
            <v>5176.2384588096429</v>
          </cell>
          <cell r="P87">
            <v>5180.725342846973</v>
          </cell>
          <cell r="R87">
            <v>106.85339690107271</v>
          </cell>
          <cell r="S87">
            <v>108.04264199694225</v>
          </cell>
          <cell r="T87">
            <v>118.65071498952065</v>
          </cell>
          <cell r="U87">
            <v>115.60223671733371</v>
          </cell>
          <cell r="V87">
            <v>115.44745634404643</v>
          </cell>
          <cell r="X87">
            <v>735.93213209002317</v>
          </cell>
          <cell r="Y87">
            <v>543.2334028803848</v>
          </cell>
          <cell r="Z87">
            <v>737.19687368330108</v>
          </cell>
          <cell r="AA87">
            <v>729.81028668959937</v>
          </cell>
          <cell r="AB87">
            <v>793.76341378140989</v>
          </cell>
          <cell r="AD87">
            <v>810.74808946224505</v>
          </cell>
          <cell r="AE87">
            <v>1438.3553199358894</v>
          </cell>
          <cell r="AF87">
            <v>729.90647157020555</v>
          </cell>
          <cell r="AG87">
            <v>721.04218848759717</v>
          </cell>
          <cell r="AH87">
            <v>848.07222956632563</v>
          </cell>
        </row>
        <row r="89">
          <cell r="C89" t="str">
            <v>Roofing Sheet :</v>
          </cell>
        </row>
        <row r="90">
          <cell r="C90" t="str">
            <v xml:space="preserve"> - 6P &amp; Alrib Plain</v>
          </cell>
          <cell r="F90">
            <v>6.2469999999999999</v>
          </cell>
          <cell r="G90">
            <v>-0.83399999999999996</v>
          </cell>
          <cell r="H90">
            <v>10.455</v>
          </cell>
          <cell r="I90">
            <v>-12.188000000000001</v>
          </cell>
          <cell r="J90">
            <v>3.6799999999999997</v>
          </cell>
          <cell r="L90">
            <v>5223.9474947975032</v>
          </cell>
          <cell r="M90">
            <v>5223.9474947975032</v>
          </cell>
          <cell r="N90">
            <v>5197.2404221794222</v>
          </cell>
          <cell r="O90">
            <v>5206.3509202939713</v>
          </cell>
          <cell r="P90">
            <v>5206.3509202939713</v>
          </cell>
          <cell r="R90">
            <v>112.53401632783736</v>
          </cell>
          <cell r="S90">
            <v>112.53401632783736</v>
          </cell>
          <cell r="T90">
            <v>121.88605476416633</v>
          </cell>
          <cell r="U90">
            <v>118.69582385568079</v>
          </cell>
          <cell r="V90">
            <v>118.6958238556808</v>
          </cell>
          <cell r="X90">
            <v>1124.3797022570834</v>
          </cell>
          <cell r="Y90">
            <v>1124.3797022570834</v>
          </cell>
          <cell r="Z90">
            <v>862.96775805252082</v>
          </cell>
          <cell r="AA90">
            <v>952.14237703281424</v>
          </cell>
          <cell r="AB90">
            <v>952.14237703281458</v>
          </cell>
          <cell r="AD90">
            <v>1287.3379222026574</v>
          </cell>
          <cell r="AE90">
            <v>1287.3379222026574</v>
          </cell>
          <cell r="AF90">
            <v>714.75677134575369</v>
          </cell>
          <cell r="AG90">
            <v>910.07954482624393</v>
          </cell>
          <cell r="AH90">
            <v>910.07954482624393</v>
          </cell>
        </row>
        <row r="91">
          <cell r="C91" t="str">
            <v xml:space="preserve"> - 6P &amp; Alrib Painted</v>
          </cell>
          <cell r="F91">
            <v>0.183</v>
          </cell>
          <cell r="G91">
            <v>0.83399999999999996</v>
          </cell>
          <cell r="H91">
            <v>0</v>
          </cell>
          <cell r="I91">
            <v>-1.0169999999999999</v>
          </cell>
          <cell r="J91">
            <v>0</v>
          </cell>
          <cell r="L91">
            <v>10562.841530054646</v>
          </cell>
          <cell r="M91">
            <v>5223.9474947975032</v>
          </cell>
          <cell r="N91" t="e">
            <v>#DIV/0!</v>
          </cell>
          <cell r="O91">
            <v>6184.6334421446591</v>
          </cell>
          <cell r="P91" t="e">
            <v>#DIV/0!</v>
          </cell>
          <cell r="R91">
            <v>1027.3224043715848</v>
          </cell>
          <cell r="S91">
            <v>112.53401632783736</v>
          </cell>
          <cell r="T91" t="e">
            <v>#DIV/0!</v>
          </cell>
          <cell r="U91">
            <v>277.14195635930815</v>
          </cell>
          <cell r="V91" t="e">
            <v>#DIV/0!</v>
          </cell>
          <cell r="X91">
            <v>4355.1912568306016</v>
          </cell>
          <cell r="Y91">
            <v>-5019.5051898292477</v>
          </cell>
          <cell r="Z91" t="e">
            <v>#DIV/0!</v>
          </cell>
          <cell r="AA91">
            <v>4150.1796181734589</v>
          </cell>
          <cell r="AB91">
            <v>3761</v>
          </cell>
          <cell r="AD91">
            <v>4475.4098360655735</v>
          </cell>
          <cell r="AE91">
            <v>1287.3379222026574</v>
          </cell>
          <cell r="AF91" t="e">
            <v>#DIV/0!</v>
          </cell>
          <cell r="AG91">
            <v>1861.0027798594065</v>
          </cell>
          <cell r="AH91" t="e">
            <v>#DIV/0!</v>
          </cell>
        </row>
        <row r="93">
          <cell r="C93" t="str">
            <v xml:space="preserve"> - Payung Plain</v>
          </cell>
          <cell r="F93">
            <v>23.803999999999998</v>
          </cell>
          <cell r="G93">
            <v>-1.327</v>
          </cell>
          <cell r="H93">
            <v>24.928000000000001</v>
          </cell>
          <cell r="I93">
            <v>-41.959000000000003</v>
          </cell>
          <cell r="J93">
            <v>5.445999999999998</v>
          </cell>
          <cell r="L93">
            <v>5092.2534027894471</v>
          </cell>
          <cell r="M93">
            <v>5091.9366993217782</v>
          </cell>
          <cell r="N93">
            <v>4954.5943294773942</v>
          </cell>
          <cell r="O93">
            <v>5019.8740100245222</v>
          </cell>
          <cell r="P93">
            <v>5137.510793829344</v>
          </cell>
          <cell r="R93">
            <v>86.330028566627462</v>
          </cell>
          <cell r="S93">
            <v>86.330028566627462</v>
          </cell>
          <cell r="T93">
            <v>97.183267925786268</v>
          </cell>
          <cell r="U93">
            <v>92.037222971123001</v>
          </cell>
          <cell r="V93">
            <v>0</v>
          </cell>
          <cell r="X93">
            <v>1199.1261972777686</v>
          </cell>
          <cell r="Y93">
            <v>1199.2766029329957</v>
          </cell>
          <cell r="Z93">
            <v>1313.81583112974</v>
          </cell>
          <cell r="AA93">
            <v>1259.4317263223304</v>
          </cell>
          <cell r="AB93">
            <v>1259.4317263223293</v>
          </cell>
          <cell r="AD93">
            <v>1222.2315577213915</v>
          </cell>
          <cell r="AE93">
            <v>1222.3059532780708</v>
          </cell>
          <cell r="AF93">
            <v>1145.9701063429284</v>
          </cell>
          <cell r="AG93">
            <v>1182.1272610677463</v>
          </cell>
          <cell r="AH93">
            <v>1182.1272610677465</v>
          </cell>
        </row>
        <row r="94">
          <cell r="C94" t="str">
            <v xml:space="preserve"> - Payung Painted</v>
          </cell>
        </row>
        <row r="96">
          <cell r="C96" t="str">
            <v>Total Roofing</v>
          </cell>
          <cell r="F96">
            <v>30.233999999999998</v>
          </cell>
          <cell r="G96">
            <v>-1.327</v>
          </cell>
          <cell r="H96">
            <v>35.383000000000003</v>
          </cell>
          <cell r="I96">
            <v>-55.164000000000001</v>
          </cell>
          <cell r="J96">
            <v>9.1259999999999977</v>
          </cell>
          <cell r="L96">
            <v>5152.5765694251504</v>
          </cell>
          <cell r="M96">
            <v>5091.9366993217782</v>
          </cell>
          <cell r="N96">
            <v>5026.2916106350031</v>
          </cell>
          <cell r="O96">
            <v>5082.5478720510291</v>
          </cell>
          <cell r="P96">
            <v>5095.0696082922814</v>
          </cell>
          <cell r="R96">
            <v>97.43996824766819</v>
          </cell>
          <cell r="S96">
            <v>86.330028566627462</v>
          </cell>
          <cell r="T96">
            <v>104.48246913527285</v>
          </cell>
          <cell r="U96">
            <v>101.33978517540069</v>
          </cell>
          <cell r="V96">
            <v>102.78712996818325</v>
          </cell>
          <cell r="X96">
            <v>1202.784944102666</v>
          </cell>
          <cell r="Y96">
            <v>5060.6179744476904</v>
          </cell>
          <cell r="Z96">
            <v>1395.6738814922778</v>
          </cell>
          <cell r="AA96">
            <v>1244.8324952453959</v>
          </cell>
          <cell r="AB96">
            <v>1135.5192996967085</v>
          </cell>
          <cell r="AD96">
            <v>1255.3747436660715</v>
          </cell>
          <cell r="AE96">
            <v>1222.3059532780708</v>
          </cell>
          <cell r="AF96">
            <v>1018.5548103704144</v>
          </cell>
          <cell r="AG96">
            <v>1134.536419886173</v>
          </cell>
          <cell r="AH96">
            <v>1072.425793199159</v>
          </cell>
        </row>
        <row r="98">
          <cell r="C98" t="str">
            <v>Total Sheet &amp; Roofing</v>
          </cell>
          <cell r="F98">
            <v>315.49399999999997</v>
          </cell>
          <cell r="G98">
            <v>-17.548999999999999</v>
          </cell>
          <cell r="H98">
            <v>805.51900000000012</v>
          </cell>
          <cell r="I98">
            <v>-930.75499999999988</v>
          </cell>
          <cell r="J98">
            <v>172.70899999999992</v>
          </cell>
          <cell r="L98">
            <v>5204.5490564004394</v>
          </cell>
          <cell r="M98">
            <v>5204.7979941877029</v>
          </cell>
          <cell r="N98">
            <v>5159.347797141505</v>
          </cell>
          <cell r="O98">
            <v>5170.6856038392671</v>
          </cell>
          <cell r="P98">
            <v>5176.1992658414538</v>
          </cell>
          <cell r="R98">
            <v>105.95130176802095</v>
          </cell>
          <cell r="S98">
            <v>106.40080268860402</v>
          </cell>
          <cell r="T98">
            <v>118.02836462526994</v>
          </cell>
          <cell r="U98">
            <v>114.75692954535054</v>
          </cell>
          <cell r="V98">
            <v>114.77848056104654</v>
          </cell>
          <cell r="X98">
            <v>780.67094778347609</v>
          </cell>
          <cell r="Y98">
            <v>884.82376851203435</v>
          </cell>
          <cell r="Z98">
            <v>766.12094868004851</v>
          </cell>
          <cell r="AA98">
            <v>760.3346299515448</v>
          </cell>
          <cell r="AB98">
            <v>811.8219064764229</v>
          </cell>
          <cell r="AD98">
            <v>853.35695766005063</v>
          </cell>
          <cell r="AE98">
            <v>1422.0183486238532</v>
          </cell>
          <cell r="AF98">
            <v>742.58555694468816</v>
          </cell>
          <cell r="AG98">
            <v>745.54917021841902</v>
          </cell>
          <cell r="AH98">
            <v>859.92714518573871</v>
          </cell>
        </row>
        <row r="100">
          <cell r="C100" t="str">
            <v>Foil :</v>
          </cell>
        </row>
        <row r="101">
          <cell r="C101" t="str">
            <v xml:space="preserve"> - Cable</v>
          </cell>
          <cell r="F101">
            <v>21.273</v>
          </cell>
          <cell r="G101">
            <v>-0.60199999999999998</v>
          </cell>
          <cell r="H101">
            <v>43.975999999999999</v>
          </cell>
          <cell r="I101">
            <v>-64.647000000000006</v>
          </cell>
          <cell r="J101">
            <v>-1.4210854715202004E-14</v>
          </cell>
          <cell r="L101">
            <v>5142.010999858976</v>
          </cell>
          <cell r="M101">
            <v>5141.1960132890363</v>
          </cell>
          <cell r="N101">
            <v>5296.1770798847729</v>
          </cell>
          <cell r="O101">
            <v>5246.8897746997191</v>
          </cell>
          <cell r="P101">
            <v>0</v>
          </cell>
          <cell r="R101">
            <v>93.451793353076667</v>
          </cell>
          <cell r="S101">
            <v>93.451793353076667</v>
          </cell>
          <cell r="T101">
            <v>131.95838330892593</v>
          </cell>
          <cell r="U101">
            <v>119.64582865090064</v>
          </cell>
          <cell r="V101">
            <v>0</v>
          </cell>
          <cell r="X101">
            <v>734.92220185211306</v>
          </cell>
          <cell r="Y101">
            <v>735.45186113197326</v>
          </cell>
          <cell r="Z101">
            <v>985.76987999591768</v>
          </cell>
          <cell r="AA101">
            <v>905.55593024114069</v>
          </cell>
          <cell r="AB101">
            <v>0</v>
          </cell>
          <cell r="AD101">
            <v>765.947445118225</v>
          </cell>
          <cell r="AE101">
            <v>765.78073089701002</v>
          </cell>
          <cell r="AF101">
            <v>1104.3242098964961</v>
          </cell>
          <cell r="AG101">
            <v>996.12915455331733</v>
          </cell>
          <cell r="AH101">
            <v>0</v>
          </cell>
        </row>
        <row r="102">
          <cell r="C102" t="str">
            <v xml:space="preserve"> - Finstock</v>
          </cell>
          <cell r="F102">
            <v>174.18199999999999</v>
          </cell>
          <cell r="G102">
            <v>-7.4690000000000003</v>
          </cell>
          <cell r="H102">
            <v>500.88600000000002</v>
          </cell>
          <cell r="I102">
            <v>-452.33699999999999</v>
          </cell>
          <cell r="J102">
            <v>215.26200000000006</v>
          </cell>
          <cell r="L102">
            <v>5220.5164712771702</v>
          </cell>
          <cell r="M102">
            <v>5220.5114473155709</v>
          </cell>
          <cell r="N102">
            <v>5114.1933280917892</v>
          </cell>
          <cell r="O102">
            <v>5140.7444279194306</v>
          </cell>
          <cell r="P102">
            <v>5140.7444279194297</v>
          </cell>
          <cell r="R102">
            <v>109.60374780402108</v>
          </cell>
          <cell r="S102">
            <v>109.60374780402108</v>
          </cell>
          <cell r="T102">
            <v>113.43137643018234</v>
          </cell>
          <cell r="U102">
            <v>112.47553999071312</v>
          </cell>
          <cell r="V102">
            <v>112.47553999071307</v>
          </cell>
          <cell r="X102">
            <v>1075.5933448921244</v>
          </cell>
          <cell r="Y102">
            <v>1075.5616023097825</v>
          </cell>
          <cell r="Z102">
            <v>919.82738968719718</v>
          </cell>
          <cell r="AA102">
            <v>958.72566061843986</v>
          </cell>
          <cell r="AB102">
            <v>958.72566061843895</v>
          </cell>
          <cell r="AD102">
            <v>1145.198700210125</v>
          </cell>
          <cell r="AE102">
            <v>1141.2505020752442</v>
          </cell>
          <cell r="AF102">
            <v>973.89105453433399</v>
          </cell>
          <cell r="AG102">
            <v>1016.7142172793615</v>
          </cell>
          <cell r="AH102">
            <v>1016.7142172793613</v>
          </cell>
        </row>
        <row r="103">
          <cell r="C103" t="str">
            <v xml:space="preserve"> - Bare fin</v>
          </cell>
          <cell r="F103">
            <v>42.408999999999999</v>
          </cell>
          <cell r="G103">
            <v>-46.113999999999997</v>
          </cell>
          <cell r="H103">
            <v>770.08199999999999</v>
          </cell>
          <cell r="I103">
            <v>-744.03499999999997</v>
          </cell>
          <cell r="J103">
            <v>22.341999999999985</v>
          </cell>
          <cell r="L103">
            <v>5129.595133108538</v>
          </cell>
          <cell r="M103">
            <v>5220.5187144901765</v>
          </cell>
          <cell r="N103">
            <v>5142.9173901513814</v>
          </cell>
          <cell r="O103">
            <v>5137.5107938293504</v>
          </cell>
          <cell r="P103">
            <v>0</v>
          </cell>
          <cell r="R103">
            <v>91.70223301657667</v>
          </cell>
          <cell r="S103">
            <v>91.702233016576685</v>
          </cell>
          <cell r="T103">
            <v>116.3556534061231</v>
          </cell>
          <cell r="U103">
            <v>116.47483877121532</v>
          </cell>
          <cell r="V103">
            <v>116.47483877121539</v>
          </cell>
          <cell r="X103">
            <v>871.48954231413143</v>
          </cell>
          <cell r="Y103">
            <v>1093.4909837939365</v>
          </cell>
          <cell r="Z103">
            <v>851.76652031921094</v>
          </cell>
          <cell r="AA103">
            <v>838.31302645275753</v>
          </cell>
          <cell r="AB103">
            <v>838.3130264527606</v>
          </cell>
          <cell r="AD103">
            <v>1000.0471598009857</v>
          </cell>
          <cell r="AE103">
            <v>1145.205360628009</v>
          </cell>
          <cell r="AF103">
            <v>963.19574902569195</v>
          </cell>
          <cell r="AG103">
            <v>954.28321674737492</v>
          </cell>
          <cell r="AH103">
            <v>954.28321674737481</v>
          </cell>
        </row>
        <row r="104">
          <cell r="C104" t="str">
            <v xml:space="preserve"> - Diap Prelube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L104" t="e">
            <v>#DIV/0!</v>
          </cell>
          <cell r="M104" t="e">
            <v>#DIV/0!</v>
          </cell>
          <cell r="N104" t="e">
            <v>#DIV/0!</v>
          </cell>
          <cell r="O104" t="e">
            <v>#DIV/0!</v>
          </cell>
          <cell r="P104" t="e">
            <v>#DIV/0!</v>
          </cell>
          <cell r="R104" t="e">
            <v>#DIV/0!</v>
          </cell>
          <cell r="S104" t="e">
            <v>#DIV/0!</v>
          </cell>
          <cell r="T104" t="e">
            <v>#DIV/0!</v>
          </cell>
          <cell r="U104" t="e">
            <v>#DIV/0!</v>
          </cell>
          <cell r="V104" t="e">
            <v>#DIV/0!</v>
          </cell>
          <cell r="X104" t="e">
            <v>#DIV/0!</v>
          </cell>
          <cell r="Y104" t="e">
            <v>#DIV/0!</v>
          </cell>
          <cell r="Z104" t="e">
            <v>#DIV/0!</v>
          </cell>
          <cell r="AA104" t="e">
            <v>#DIV/0!</v>
          </cell>
          <cell r="AB104" t="e">
            <v>#DIV/0!</v>
          </cell>
          <cell r="AD104" t="e">
            <v>#DIV/0!</v>
          </cell>
          <cell r="AE104" t="e">
            <v>#DIV/0!</v>
          </cell>
          <cell r="AF104" t="e">
            <v>#DIV/0!</v>
          </cell>
          <cell r="AG104" t="e">
            <v>#DIV/0!</v>
          </cell>
          <cell r="AH104" t="e">
            <v>#DIV/0!</v>
          </cell>
        </row>
        <row r="105">
          <cell r="C105" t="str">
            <v xml:space="preserve"> - Lacquered</v>
          </cell>
          <cell r="F105">
            <v>7.1779999999999999</v>
          </cell>
          <cell r="G105">
            <v>-0.53600000000000003</v>
          </cell>
          <cell r="H105">
            <v>49.262</v>
          </cell>
          <cell r="I105">
            <v>-39.935000000000002</v>
          </cell>
          <cell r="J105">
            <v>15.968999999999994</v>
          </cell>
          <cell r="L105">
            <v>5201.1702424073555</v>
          </cell>
          <cell r="M105">
            <v>5417.9104477611936</v>
          </cell>
          <cell r="N105">
            <v>5366.2980996579136</v>
          </cell>
          <cell r="O105">
            <v>5344.6010479634397</v>
          </cell>
          <cell r="P105">
            <v>5344.6010479634415</v>
          </cell>
          <cell r="R105">
            <v>102.39621064363332</v>
          </cell>
          <cell r="S105">
            <v>102.39621064363331</v>
          </cell>
          <cell r="T105">
            <v>139.09711192003485</v>
          </cell>
          <cell r="U105">
            <v>134.73664779800674</v>
          </cell>
          <cell r="V105">
            <v>134.73664779800683</v>
          </cell>
          <cell r="X105">
            <v>-51537.196990805242</v>
          </cell>
          <cell r="Y105">
            <v>8707.3052818936794</v>
          </cell>
          <cell r="Z105">
            <v>3042.9716466148138</v>
          </cell>
          <cell r="AA105">
            <v>3491.7890642291459</v>
          </cell>
          <cell r="AB105">
            <v>-22803.108689056742</v>
          </cell>
          <cell r="AD105">
            <v>1770.1309556979661</v>
          </cell>
          <cell r="AE105">
            <v>9100.746268656716</v>
          </cell>
          <cell r="AF105">
            <v>1146.4442459307725</v>
          </cell>
          <cell r="AG105">
            <v>1150.2600250973401</v>
          </cell>
          <cell r="AH105">
            <v>1150.2600250973408</v>
          </cell>
        </row>
        <row r="106">
          <cell r="C106" t="str">
            <v xml:space="preserve"> - Plain &gt; 30 um</v>
          </cell>
          <cell r="F106">
            <v>22.082999999999998</v>
          </cell>
          <cell r="G106">
            <v>-2.9180000000000001</v>
          </cell>
          <cell r="H106">
            <v>11.356</v>
          </cell>
          <cell r="I106">
            <v>-13.15</v>
          </cell>
          <cell r="J106">
            <v>17.371000000000002</v>
          </cell>
          <cell r="L106">
            <v>5192.7727210976773</v>
          </cell>
          <cell r="M106">
            <v>5212.1403495572822</v>
          </cell>
          <cell r="N106">
            <v>5444.5670252961563</v>
          </cell>
          <cell r="O106">
            <v>5284.6065856051573</v>
          </cell>
          <cell r="P106">
            <v>5284.6065856051555</v>
          </cell>
          <cell r="R106">
            <v>103.20155775936242</v>
          </cell>
          <cell r="S106">
            <v>103.2015577593624</v>
          </cell>
          <cell r="T106">
            <v>147.06534484964902</v>
          </cell>
          <cell r="U106">
            <v>119.52203107928294</v>
          </cell>
          <cell r="V106">
            <v>119.52203107928293</v>
          </cell>
          <cell r="X106">
            <v>974.3241407417471</v>
          </cell>
          <cell r="Y106">
            <v>1049.4295820891566</v>
          </cell>
          <cell r="Z106">
            <v>1660.2969313856408</v>
          </cell>
          <cell r="AA106">
            <v>1222.3746414691254</v>
          </cell>
          <cell r="AB106">
            <v>1222.3746414691252</v>
          </cell>
          <cell r="AD106">
            <v>1119.1867047049768</v>
          </cell>
          <cell r="AE106">
            <v>1165.223671538653</v>
          </cell>
          <cell r="AF106">
            <v>1940.7737105110441</v>
          </cell>
          <cell r="AG106">
            <v>1420.4745448384269</v>
          </cell>
          <cell r="AH106">
            <v>1420.4745448384263</v>
          </cell>
        </row>
        <row r="107">
          <cell r="C107" t="str">
            <v xml:space="preserve"> - Plain &lt; 30 um</v>
          </cell>
          <cell r="F107">
            <v>0</v>
          </cell>
          <cell r="G107">
            <v>0.88200000000000001</v>
          </cell>
          <cell r="H107">
            <v>9.0960000000000001</v>
          </cell>
          <cell r="I107">
            <v>-9.9779999999999998</v>
          </cell>
          <cell r="J107">
            <v>0</v>
          </cell>
          <cell r="L107" t="e">
            <v>#DIV/0!</v>
          </cell>
          <cell r="M107">
            <v>5192.7727210976773</v>
          </cell>
          <cell r="N107">
            <v>5629.2669321540852</v>
          </cell>
          <cell r="O107">
            <v>5590.6832586572173</v>
          </cell>
          <cell r="P107" t="e">
            <v>#DIV/0!</v>
          </cell>
          <cell r="R107" t="e">
            <v>#DIV/0!</v>
          </cell>
          <cell r="S107">
            <v>103.20155775936242</v>
          </cell>
          <cell r="T107">
            <v>165.86887214890373</v>
          </cell>
          <cell r="U107">
            <v>160.32942824315356</v>
          </cell>
          <cell r="V107" t="e">
            <v>#DIV/0!</v>
          </cell>
          <cell r="X107" t="e">
            <v>#DIV/0!</v>
          </cell>
          <cell r="Y107">
            <v>974.3241407417471</v>
          </cell>
          <cell r="Z107">
            <v>4387.0009562755995</v>
          </cell>
          <cell r="AA107">
            <v>4085.3392052933527</v>
          </cell>
          <cell r="AB107" t="e">
            <v>#DIV/0!</v>
          </cell>
          <cell r="AD107" t="e">
            <v>#DIV/0!</v>
          </cell>
          <cell r="AE107">
            <v>1119.1867047049766</v>
          </cell>
          <cell r="AF107">
            <v>5600.1012086551918</v>
          </cell>
          <cell r="AG107">
            <v>5204.0131556902606</v>
          </cell>
          <cell r="AH107" t="e">
            <v>#DIV/0!</v>
          </cell>
        </row>
        <row r="108">
          <cell r="C108" t="str">
            <v xml:space="preserve"> - Plain &lt; 30 um</v>
          </cell>
          <cell r="F108">
            <v>12.763</v>
          </cell>
          <cell r="G108">
            <v>0</v>
          </cell>
          <cell r="H108">
            <v>11.909000000000001</v>
          </cell>
          <cell r="I108">
            <v>-5.5830000000000002</v>
          </cell>
          <cell r="J108">
            <v>19.088999999999999</v>
          </cell>
          <cell r="L108">
            <v>5416.6731959570634</v>
          </cell>
          <cell r="M108" t="e">
            <v>#DIV/0!</v>
          </cell>
          <cell r="N108">
            <v>6272.4607529135656</v>
          </cell>
          <cell r="O108">
            <v>5829.7558003586109</v>
          </cell>
          <cell r="P108">
            <v>5829.7558003586109</v>
          </cell>
          <cell r="R108">
            <v>135.62642012066129</v>
          </cell>
          <cell r="S108" t="e">
            <v>#DIV/0!</v>
          </cell>
          <cell r="T108">
            <v>231.34975285484646</v>
          </cell>
          <cell r="U108">
            <v>178.14204088864335</v>
          </cell>
          <cell r="V108">
            <v>178.14204088864341</v>
          </cell>
          <cell r="X108">
            <v>6624.6963879965524</v>
          </cell>
          <cell r="Y108" t="e">
            <v>#DIV/0!</v>
          </cell>
          <cell r="Z108">
            <v>4041.633524185329</v>
          </cell>
          <cell r="AA108">
            <v>5377.870202639554</v>
          </cell>
          <cell r="AB108">
            <v>5377.8702026395549</v>
          </cell>
          <cell r="AD108">
            <v>9100.7600094021782</v>
          </cell>
          <cell r="AE108" t="e">
            <v>#DIV/0!</v>
          </cell>
          <cell r="AF108">
            <v>5015.9118222469933</v>
          </cell>
          <cell r="AG108">
            <v>7129.0326641998809</v>
          </cell>
          <cell r="AH108">
            <v>7129.0326641998809</v>
          </cell>
        </row>
        <row r="109">
          <cell r="C109" t="str">
            <v>Total foil</v>
          </cell>
          <cell r="F109">
            <v>279.88799999999998</v>
          </cell>
          <cell r="G109">
            <v>-56.756999999999998</v>
          </cell>
          <cell r="H109">
            <v>1396.567</v>
          </cell>
          <cell r="I109">
            <v>-1329.6650000000002</v>
          </cell>
          <cell r="J109">
            <v>290.03300000000002</v>
          </cell>
          <cell r="L109">
            <v>5207.0328131252509</v>
          </cell>
          <cell r="M109">
            <v>5221.5409553006675</v>
          </cell>
          <cell r="N109">
            <v>5160.5732195362516</v>
          </cell>
          <cell r="O109">
            <v>5157.910468187878</v>
          </cell>
          <cell r="P109">
            <v>5205.6843076651567</v>
          </cell>
          <cell r="R109">
            <v>106.1603212713657</v>
          </cell>
          <cell r="S109">
            <v>96.193802697817176</v>
          </cell>
          <cell r="T109">
            <v>118.15311976913955</v>
          </cell>
          <cell r="U109">
            <v>116.43512138058274</v>
          </cell>
          <cell r="V109">
            <v>118.75328216580624</v>
          </cell>
          <cell r="X109">
            <v>-85.480620819756481</v>
          </cell>
          <cell r="Y109">
            <v>1158.8236184827201</v>
          </cell>
          <cell r="Z109">
            <v>1014.4891861258219</v>
          </cell>
          <cell r="AA109">
            <v>1009.4646266189627</v>
          </cell>
          <cell r="AB109">
            <v>-52.214801996139421</v>
          </cell>
          <cell r="AD109">
            <v>1471.1313096667241</v>
          </cell>
          <cell r="AE109">
            <v>1217.2243071339219</v>
          </cell>
          <cell r="AF109">
            <v>1050.6480836091416</v>
          </cell>
          <cell r="AG109">
            <v>1045.8696292127179</v>
          </cell>
          <cell r="AH109">
            <v>1445.7327326705547</v>
          </cell>
        </row>
        <row r="111">
          <cell r="C111" t="str">
            <v>Total Rolled Products</v>
          </cell>
          <cell r="F111">
            <v>595.38199999999995</v>
          </cell>
          <cell r="G111">
            <v>-74.305999999999997</v>
          </cell>
          <cell r="H111">
            <v>2202.0860000000002</v>
          </cell>
          <cell r="I111">
            <v>-2260.42</v>
          </cell>
          <cell r="J111">
            <v>462.74199999999996</v>
          </cell>
          <cell r="L111">
            <v>5205.7166659388431</v>
          </cell>
          <cell r="M111">
            <v>5217.5867359298036</v>
          </cell>
          <cell r="N111">
            <v>5160.1249622829046</v>
          </cell>
          <cell r="O111">
            <v>5163.1707832546399</v>
          </cell>
          <cell r="P111">
            <v>5194.679618036098</v>
          </cell>
          <cell r="R111">
            <v>106.04956145802191</v>
          </cell>
          <cell r="S111">
            <v>98.60441076228463</v>
          </cell>
          <cell r="T111">
            <v>118.10748456745593</v>
          </cell>
          <cell r="U111">
            <v>115.74410579869904</v>
          </cell>
          <cell r="V111">
            <v>117.26976865210649</v>
          </cell>
          <cell r="X111">
            <v>373.49466393004832</v>
          </cell>
          <cell r="Y111">
            <v>1094.1125134961032</v>
          </cell>
          <cell r="Z111">
            <v>923.63654265091589</v>
          </cell>
          <cell r="AA111">
            <v>906.88236754844365</v>
          </cell>
          <cell r="AB111">
            <v>270.26925150146337</v>
          </cell>
          <cell r="AD111">
            <v>1143.7715617872225</v>
          </cell>
          <cell r="AE111">
            <v>1265.5909347831939</v>
          </cell>
          <cell r="AF111">
            <v>937.9593791642543</v>
          </cell>
          <cell r="AG111">
            <v>922.20908435324998</v>
          </cell>
          <cell r="AH111">
            <v>1227.0927622141987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lse key infor"/>
      <sheetName val="KLSE Income statements"/>
      <sheetName val="KLSE Balance Sheet"/>
      <sheetName val="KLSE-changes in equity"/>
      <sheetName val="KLSE cashflow"/>
      <sheetName val="shipment"/>
      <sheetName val="Disc ope Dec03"/>
      <sheetName val="TAX"/>
      <sheetName val="Tax reconDec 03"/>
      <sheetName val="EPS"/>
      <sheetName val="ESOS movement"/>
      <sheetName val="CashFlow workingsDec 03"/>
      <sheetName val="taxmovementDEC03"/>
      <sheetName val="Discontinued OpQ3"/>
      <sheetName val="AESB2002"/>
      <sheetName val="consoBSSep03"/>
      <sheetName val="conP&amp;LSep03"/>
      <sheetName val="otherRev&amp;income&amp;FinCostSep03"/>
      <sheetName val="alcom-DefAsset&amp;liab"/>
      <sheetName val="aesb-defAsset&amp;liab"/>
      <sheetName val="ansc-defAsset&amp;liab"/>
      <sheetName val="FA movement"/>
    </sheetNames>
    <sheetDataSet>
      <sheetData sheetId="0" refreshError="1"/>
      <sheetData sheetId="1" refreshError="1">
        <row r="23">
          <cell r="E23">
            <v>-4512</v>
          </cell>
        </row>
      </sheetData>
      <sheetData sheetId="2" refreshError="1">
        <row r="12">
          <cell r="C12">
            <v>144966</v>
          </cell>
        </row>
        <row r="15">
          <cell r="C15">
            <v>36779</v>
          </cell>
        </row>
        <row r="16">
          <cell r="C16">
            <v>35532</v>
          </cell>
        </row>
        <row r="19">
          <cell r="C19">
            <v>116645</v>
          </cell>
        </row>
        <row r="22">
          <cell r="C22">
            <v>33594</v>
          </cell>
        </row>
        <row r="25">
          <cell r="C25">
            <v>33726</v>
          </cell>
        </row>
        <row r="33">
          <cell r="C33">
            <v>20201</v>
          </cell>
        </row>
        <row r="34">
          <cell r="C34">
            <v>24314</v>
          </cell>
        </row>
        <row r="40">
          <cell r="C40">
            <v>56836</v>
          </cell>
        </row>
      </sheetData>
      <sheetData sheetId="3" refreshError="1"/>
      <sheetData sheetId="4" refreshError="1">
        <row r="15">
          <cell r="B15">
            <v>11692</v>
          </cell>
        </row>
        <row r="24">
          <cell r="B24">
            <v>3293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  <sheetName val="HAPM"/>
      <sheetName val="Complaint"/>
      <sheetName val="AVE Px"/>
      <sheetName val="NRV"/>
      <sheetName val="Stock Ob"/>
      <sheetName val="Tech fees"/>
      <sheetName val="NRV JV"/>
      <sheetName val="Sheet4"/>
      <sheetName val="Sheet1"/>
      <sheetName val="Sheet3"/>
      <sheetName val="North"/>
      <sheetName val="Adj store"/>
      <sheetName val="PPV-Paint"/>
      <sheetName val="PPV"/>
      <sheetName val="NCA Disp"/>
      <sheetName val="Sheet2"/>
      <sheetName val="Manufacturing exp"/>
      <sheetName val="Insur Rebates"/>
      <sheetName val="Daikin"/>
      <sheetName val="Freight"/>
      <sheetName val="Freight-03A"/>
      <sheetName val="Alcom finstock"/>
      <sheetName val="Not-ship"/>
      <sheetName val="JV-Barefin- Inported"/>
      <sheetName val="Purchases fr China"/>
      <sheetName val="Adj"/>
      <sheetName val="OT"/>
      <sheetName val="deferred tax"/>
      <sheetName val="Prepayment"/>
      <sheetName val="Fixed assets transfer"/>
      <sheetName val="Disposal"/>
      <sheetName val="Dccs"/>
      <sheetName val="Exp-Jason Au"/>
      <sheetName val="Exp-Koyasu"/>
      <sheetName val="Exp-Azlan"/>
      <sheetName val="Exp-CH Teh"/>
      <sheetName val="Exp-KF Cheah"/>
      <sheetName val="Exp-Louie Leong"/>
      <sheetName val="Exp-KH Lee"/>
      <sheetName val="Exp-Eric Chong"/>
      <sheetName val="Exp-Toru Ishii"/>
      <sheetName val="Exp-Mohd Shahrul"/>
      <sheetName val="Exp-Mazuki Musa"/>
      <sheetName val="Exp-clear"/>
      <sheetName val="Store adj"/>
      <sheetName val="Interest"/>
      <sheetName val="Statistic-Barefin Alcom"/>
      <sheetName val="Statistic ARPC"/>
      <sheetName val="Statistic China"/>
      <sheetName val="Statistic Others"/>
      <sheetName val="Purchases statistic"/>
      <sheetName val="Purchases fr ARPC"/>
      <sheetName val="Purchases fr NLM"/>
      <sheetName val="Purchases fr TaihanINDAL"/>
      <sheetName val="Tokio Insurance"/>
      <sheetName val="Statistic  NLM"/>
      <sheetName val="JV-LIST"/>
      <sheetName val="JPY Loan"/>
      <sheetName val="Working-Loan"/>
      <sheetName val="Working-int"/>
      <sheetName val="Fwd Cont &amp; Curr"/>
      <sheetName val="Slitting"/>
      <sheetName val="dividend pay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9">
          <cell r="D29">
            <v>55993</v>
          </cell>
        </row>
        <row r="30">
          <cell r="D30">
            <v>232993</v>
          </cell>
        </row>
        <row r="31">
          <cell r="D31">
            <v>336391</v>
          </cell>
        </row>
        <row r="32">
          <cell r="D32">
            <v>507</v>
          </cell>
        </row>
        <row r="38">
          <cell r="D38">
            <v>12082</v>
          </cell>
        </row>
        <row r="40">
          <cell r="D40">
            <v>17933</v>
          </cell>
        </row>
        <row r="41">
          <cell r="D41">
            <v>75197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rgb="FFFF0000"/>
  </sheetPr>
  <dimension ref="A1:G47"/>
  <sheetViews>
    <sheetView workbookViewId="0">
      <pane xSplit="1" ySplit="7" topLeftCell="B27" activePane="bottomRight" state="frozen"/>
      <selection pane="topRight" activeCell="B1" sqref="B1"/>
      <selection pane="bottomLeft" activeCell="A8" sqref="A8"/>
      <selection pane="bottomRight" activeCell="G36" sqref="G36"/>
    </sheetView>
  </sheetViews>
  <sheetFormatPr defaultColWidth="6.7109375" defaultRowHeight="12.75"/>
  <cols>
    <col min="1" max="1" width="42.28515625" style="25" customWidth="1"/>
    <col min="2" max="2" width="6.85546875" style="25" customWidth="1"/>
    <col min="3" max="4" width="13.5703125" style="25" bestFit="1" customWidth="1"/>
    <col min="5" max="6" width="13.28515625" style="25" bestFit="1" customWidth="1"/>
    <col min="7" max="7" width="4.7109375" style="25" customWidth="1"/>
    <col min="8" max="16384" width="6.7109375" style="25"/>
  </cols>
  <sheetData>
    <row r="1" spans="1:7">
      <c r="A1" s="19" t="s">
        <v>327</v>
      </c>
      <c r="B1" s="19"/>
    </row>
    <row r="2" spans="1:7">
      <c r="A2" s="29" t="s">
        <v>2640</v>
      </c>
    </row>
    <row r="4" spans="1:7" ht="13.5" thickBot="1"/>
    <row r="5" spans="1:7" ht="27" customHeight="1" thickBot="1">
      <c r="C5" s="578" t="s">
        <v>2641</v>
      </c>
      <c r="D5" s="578" t="s">
        <v>2641</v>
      </c>
      <c r="E5" s="578" t="s">
        <v>2642</v>
      </c>
      <c r="F5" s="578" t="s">
        <v>2642</v>
      </c>
    </row>
    <row r="6" spans="1:7">
      <c r="C6" s="207">
        <v>2011</v>
      </c>
      <c r="D6" s="207">
        <v>2010</v>
      </c>
      <c r="E6" s="209">
        <v>2011</v>
      </c>
      <c r="F6" s="209">
        <v>2010</v>
      </c>
    </row>
    <row r="7" spans="1:7" ht="13.5" thickBot="1">
      <c r="B7" s="25" t="s">
        <v>337</v>
      </c>
      <c r="C7" s="212" t="s">
        <v>329</v>
      </c>
      <c r="D7" s="212" t="s">
        <v>329</v>
      </c>
      <c r="E7" s="213" t="s">
        <v>329</v>
      </c>
      <c r="F7" s="213" t="s">
        <v>329</v>
      </c>
    </row>
    <row r="8" spans="1:7">
      <c r="C8" s="372"/>
      <c r="D8" s="372"/>
      <c r="E8" s="216"/>
      <c r="F8" s="216"/>
      <c r="G8" s="127"/>
    </row>
    <row r="9" spans="1:7">
      <c r="C9" s="217"/>
      <c r="D9" s="217"/>
      <c r="E9" s="217"/>
      <c r="F9" s="217"/>
      <c r="G9" s="127"/>
    </row>
    <row r="10" spans="1:7">
      <c r="A10" s="25" t="s">
        <v>330</v>
      </c>
      <c r="C10" s="217">
        <v>68058</v>
      </c>
      <c r="D10" s="217">
        <v>70814</v>
      </c>
      <c r="E10" s="217">
        <v>145645</v>
      </c>
      <c r="F10" s="217">
        <v>145008</v>
      </c>
      <c r="G10" s="127"/>
    </row>
    <row r="11" spans="1:7">
      <c r="C11" s="217"/>
      <c r="D11" s="217"/>
      <c r="E11" s="217"/>
      <c r="F11" s="217"/>
      <c r="G11" s="127"/>
    </row>
    <row r="12" spans="1:7">
      <c r="A12" s="50" t="s">
        <v>339</v>
      </c>
      <c r="B12" s="66"/>
      <c r="C12" s="217">
        <v>-68492</v>
      </c>
      <c r="D12" s="217">
        <v>-70088</v>
      </c>
      <c r="E12" s="217">
        <v>-142621.5</v>
      </c>
      <c r="F12" s="217">
        <v>-142409</v>
      </c>
      <c r="G12" s="127"/>
    </row>
    <row r="13" spans="1:7">
      <c r="A13" s="50" t="s">
        <v>340</v>
      </c>
      <c r="B13" s="50"/>
      <c r="C13" s="217">
        <v>0</v>
      </c>
      <c r="D13" s="217">
        <v>0</v>
      </c>
      <c r="E13" s="217">
        <v>0</v>
      </c>
      <c r="F13" s="217">
        <v>0</v>
      </c>
      <c r="G13" s="127"/>
    </row>
    <row r="14" spans="1:7">
      <c r="A14" s="50" t="s">
        <v>341</v>
      </c>
      <c r="B14" s="219"/>
      <c r="C14" s="221">
        <v>91</v>
      </c>
      <c r="D14" s="221">
        <v>284</v>
      </c>
      <c r="E14" s="221">
        <v>362</v>
      </c>
      <c r="F14" s="221">
        <v>534</v>
      </c>
      <c r="G14" s="127"/>
    </row>
    <row r="15" spans="1:7">
      <c r="A15" s="50"/>
      <c r="B15" s="50"/>
      <c r="C15" s="217"/>
      <c r="D15" s="217"/>
      <c r="E15" s="219"/>
      <c r="F15" s="219"/>
      <c r="G15" s="127"/>
    </row>
    <row r="16" spans="1:7">
      <c r="A16" s="50" t="s">
        <v>342</v>
      </c>
      <c r="B16" s="50"/>
      <c r="C16" s="219">
        <v>-343</v>
      </c>
      <c r="D16" s="219">
        <v>1010</v>
      </c>
      <c r="E16" s="219">
        <v>3385.5</v>
      </c>
      <c r="F16" s="219">
        <v>3133</v>
      </c>
      <c r="G16" s="127"/>
    </row>
    <row r="17" spans="1:7">
      <c r="C17" s="217"/>
      <c r="D17" s="217"/>
      <c r="E17" s="217"/>
      <c r="F17" s="217"/>
      <c r="G17" s="127"/>
    </row>
    <row r="18" spans="1:7">
      <c r="A18" s="25" t="s">
        <v>343</v>
      </c>
      <c r="C18" s="217">
        <v>-84</v>
      </c>
      <c r="D18" s="217">
        <v>-98</v>
      </c>
      <c r="E18" s="217">
        <v>-184</v>
      </c>
      <c r="F18" s="217">
        <v>-189</v>
      </c>
      <c r="G18" s="127"/>
    </row>
    <row r="19" spans="1:7">
      <c r="C19" s="217"/>
      <c r="D19" s="217"/>
      <c r="E19" s="217"/>
      <c r="F19" s="217"/>
      <c r="G19" s="127"/>
    </row>
    <row r="20" spans="1:7">
      <c r="C20" s="217"/>
      <c r="D20" s="217"/>
      <c r="E20" s="217"/>
      <c r="F20" s="217"/>
      <c r="G20" s="127"/>
    </row>
    <row r="21" spans="1:7">
      <c r="C21" s="221"/>
      <c r="D21" s="221"/>
      <c r="E21" s="221"/>
      <c r="F21" s="221"/>
      <c r="G21" s="127"/>
    </row>
    <row r="22" spans="1:7">
      <c r="C22" s="217"/>
      <c r="D22" s="217"/>
      <c r="E22" s="217"/>
      <c r="F22" s="217"/>
      <c r="G22" s="127"/>
    </row>
    <row r="23" spans="1:7">
      <c r="A23" s="25" t="s">
        <v>344</v>
      </c>
      <c r="C23" s="217">
        <v>-427</v>
      </c>
      <c r="D23" s="217">
        <v>912</v>
      </c>
      <c r="E23" s="217">
        <v>3201.5</v>
      </c>
      <c r="F23" s="217">
        <v>2944</v>
      </c>
      <c r="G23" s="127"/>
    </row>
    <row r="24" spans="1:7">
      <c r="C24" s="217"/>
      <c r="D24" s="217"/>
      <c r="E24" s="217"/>
      <c r="F24" s="217"/>
      <c r="G24" s="127"/>
    </row>
    <row r="25" spans="1:7">
      <c r="A25" s="25" t="s">
        <v>345</v>
      </c>
      <c r="B25" s="210">
        <v>10</v>
      </c>
      <c r="C25" s="217">
        <v>346</v>
      </c>
      <c r="D25" s="217">
        <v>-172</v>
      </c>
      <c r="E25" s="217">
        <v>-782</v>
      </c>
      <c r="F25" s="217">
        <v>-675</v>
      </c>
      <c r="G25" s="127"/>
    </row>
    <row r="26" spans="1:7">
      <c r="C26" s="221"/>
      <c r="D26" s="221"/>
      <c r="E26" s="221"/>
      <c r="F26" s="221"/>
      <c r="G26" s="127"/>
    </row>
    <row r="27" spans="1:7">
      <c r="C27" s="217"/>
      <c r="D27" s="217"/>
      <c r="E27" s="217"/>
      <c r="F27" s="217"/>
      <c r="G27" s="127"/>
    </row>
    <row r="28" spans="1:7">
      <c r="A28" s="25" t="s">
        <v>348</v>
      </c>
      <c r="C28" s="217">
        <v>-81</v>
      </c>
      <c r="D28" s="217">
        <v>740</v>
      </c>
      <c r="E28" s="217">
        <v>2419.5</v>
      </c>
      <c r="F28" s="217">
        <v>2269</v>
      </c>
      <c r="G28" s="127"/>
    </row>
    <row r="29" spans="1:7" ht="13.5" thickBot="1">
      <c r="C29" s="223"/>
      <c r="D29" s="223"/>
      <c r="E29" s="223"/>
      <c r="F29" s="223"/>
      <c r="G29" s="127"/>
    </row>
    <row r="30" spans="1:7">
      <c r="C30" s="217"/>
      <c r="D30" s="217"/>
      <c r="E30" s="217"/>
      <c r="F30" s="217"/>
      <c r="G30" s="127"/>
    </row>
    <row r="31" spans="1:7">
      <c r="A31" s="25" t="s">
        <v>698</v>
      </c>
      <c r="C31" s="217"/>
      <c r="D31" s="217"/>
      <c r="E31" s="217"/>
      <c r="F31" s="217"/>
      <c r="G31" s="127"/>
    </row>
    <row r="32" spans="1:7">
      <c r="A32" s="25" t="s">
        <v>2517</v>
      </c>
      <c r="C32" s="217">
        <v>-81</v>
      </c>
      <c r="D32" s="217">
        <v>740</v>
      </c>
      <c r="E32" s="217">
        <v>2419.5</v>
      </c>
      <c r="F32" s="217">
        <v>2269</v>
      </c>
      <c r="G32" s="127"/>
    </row>
    <row r="33" spans="1:7">
      <c r="A33" s="25" t="s">
        <v>671</v>
      </c>
      <c r="C33" s="217">
        <v>0</v>
      </c>
      <c r="D33" s="217">
        <v>0</v>
      </c>
      <c r="E33" s="217">
        <v>0</v>
      </c>
      <c r="F33" s="217">
        <v>0</v>
      </c>
      <c r="G33" s="127"/>
    </row>
    <row r="34" spans="1:7">
      <c r="C34" s="221"/>
      <c r="D34" s="221"/>
      <c r="E34" s="221"/>
      <c r="F34" s="221"/>
      <c r="G34" s="127"/>
    </row>
    <row r="35" spans="1:7">
      <c r="C35" s="217"/>
      <c r="D35" s="217"/>
      <c r="E35" s="217"/>
      <c r="F35" s="217"/>
      <c r="G35" s="127"/>
    </row>
    <row r="36" spans="1:7">
      <c r="C36" s="217">
        <v>-81</v>
      </c>
      <c r="D36" s="217">
        <v>740</v>
      </c>
      <c r="E36" s="217">
        <v>2419.5</v>
      </c>
      <c r="F36" s="217">
        <v>2269</v>
      </c>
      <c r="G36" s="127"/>
    </row>
    <row r="37" spans="1:7" ht="13.5" thickBot="1">
      <c r="C37" s="223"/>
      <c r="D37" s="223"/>
      <c r="E37" s="223"/>
      <c r="F37" s="223"/>
      <c r="G37" s="127"/>
    </row>
    <row r="38" spans="1:7">
      <c r="C38" s="217"/>
      <c r="D38" s="217"/>
      <c r="E38" s="217"/>
      <c r="F38" s="217"/>
      <c r="G38" s="127"/>
    </row>
    <row r="39" spans="1:7">
      <c r="A39" s="25" t="s">
        <v>349</v>
      </c>
      <c r="B39" s="210">
        <v>11</v>
      </c>
      <c r="C39" s="418">
        <f>+C36/132252*100</f>
        <v>-6.1246710824789038E-2</v>
      </c>
      <c r="D39" s="418">
        <f t="shared" ref="D39:F39" si="0">+D36/132252*100</f>
        <v>0.55953785197955419</v>
      </c>
      <c r="E39" s="418">
        <f t="shared" si="0"/>
        <v>1.8294619363034208</v>
      </c>
      <c r="F39" s="418">
        <f t="shared" si="0"/>
        <v>1.715664035326498</v>
      </c>
      <c r="G39" s="127"/>
    </row>
    <row r="40" spans="1:7">
      <c r="C40" s="418"/>
      <c r="D40" s="418"/>
      <c r="E40" s="217"/>
      <c r="F40" s="217"/>
      <c r="G40" s="127"/>
    </row>
    <row r="41" spans="1:7">
      <c r="A41" s="25" t="s">
        <v>350</v>
      </c>
      <c r="B41" s="210">
        <v>11</v>
      </c>
      <c r="C41" s="432" t="s">
        <v>770</v>
      </c>
      <c r="D41" s="432" t="s">
        <v>770</v>
      </c>
      <c r="E41" s="430" t="s">
        <v>770</v>
      </c>
      <c r="F41" s="430" t="s">
        <v>770</v>
      </c>
      <c r="G41" s="127"/>
    </row>
    <row r="42" spans="1:7">
      <c r="C42" s="224"/>
      <c r="D42" s="224"/>
      <c r="G42" s="127"/>
    </row>
    <row r="43" spans="1:7">
      <c r="C43" s="586"/>
      <c r="D43" s="586"/>
      <c r="E43" s="586"/>
      <c r="F43" s="586"/>
      <c r="G43" s="127"/>
    </row>
    <row r="44" spans="1:7">
      <c r="A44" s="29" t="s">
        <v>2634</v>
      </c>
      <c r="G44" s="127"/>
    </row>
    <row r="45" spans="1:7">
      <c r="A45" s="29" t="s">
        <v>2520</v>
      </c>
      <c r="G45" s="127"/>
    </row>
    <row r="46" spans="1:7">
      <c r="G46" s="127"/>
    </row>
    <row r="47" spans="1:7">
      <c r="G47" s="127"/>
    </row>
  </sheetData>
  <phoneticPr fontId="0" type="noConversion"/>
  <pageMargins left="1.04" right="0.41" top="0.55000000000000004" bottom="0.59" header="0.23" footer="0.27"/>
  <pageSetup paperSize="9" scale="75" orientation="portrait" blackAndWhite="1" horizontalDpi="4294967292" verticalDpi="300" r:id="rId1"/>
  <headerFooter alignWithMargins="0">
    <oddFooter>&amp;L&amp;D&amp;F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U53"/>
  <sheetViews>
    <sheetView workbookViewId="0">
      <selection activeCell="E36" sqref="E36:F36"/>
    </sheetView>
  </sheetViews>
  <sheetFormatPr defaultRowHeight="12.75"/>
  <cols>
    <col min="1" max="1" width="29" customWidth="1"/>
    <col min="2" max="2" width="5.42578125" customWidth="1"/>
    <col min="3" max="3" width="21.28515625" customWidth="1"/>
    <col min="4" max="4" width="23.28515625" customWidth="1"/>
    <col min="5" max="5" width="4.28515625" customWidth="1"/>
    <col min="6" max="6" width="13.28515625" customWidth="1"/>
    <col min="18" max="18" width="46.28515625" bestFit="1" customWidth="1"/>
    <col min="19" max="20" width="11.5703125" customWidth="1"/>
  </cols>
  <sheetData>
    <row r="1" spans="1:21">
      <c r="A1" s="19" t="s">
        <v>327</v>
      </c>
      <c r="B1" s="19"/>
      <c r="C1" s="25"/>
      <c r="D1" s="25"/>
    </row>
    <row r="2" spans="1:21">
      <c r="A2" s="225" t="s">
        <v>352</v>
      </c>
      <c r="B2" s="225"/>
      <c r="C2" s="25"/>
      <c r="D2" s="25"/>
    </row>
    <row r="3" spans="1:21">
      <c r="A3" s="226"/>
      <c r="B3" s="226"/>
      <c r="C3" s="25"/>
      <c r="D3" s="25"/>
      <c r="I3">
        <v>-30027</v>
      </c>
      <c r="J3">
        <v>14000</v>
      </c>
      <c r="L3">
        <v>8000</v>
      </c>
    </row>
    <row r="4" spans="1:21">
      <c r="A4" s="226"/>
      <c r="B4" s="226"/>
      <c r="C4" s="25"/>
      <c r="D4" s="25"/>
    </row>
    <row r="5" spans="1:21">
      <c r="A5" s="226"/>
      <c r="B5" s="226"/>
      <c r="C5" s="210" t="s">
        <v>353</v>
      </c>
      <c r="D5" s="210" t="s">
        <v>353</v>
      </c>
      <c r="F5" s="210"/>
      <c r="L5" t="s">
        <v>454</v>
      </c>
    </row>
    <row r="6" spans="1:21">
      <c r="A6" s="226"/>
      <c r="B6" s="226"/>
      <c r="C6" s="210" t="s">
        <v>354</v>
      </c>
      <c r="D6" s="210" t="s">
        <v>355</v>
      </c>
      <c r="F6" s="210"/>
      <c r="G6" t="s">
        <v>455</v>
      </c>
      <c r="H6" t="s">
        <v>456</v>
      </c>
      <c r="I6" t="s">
        <v>457</v>
      </c>
      <c r="J6" t="s">
        <v>458</v>
      </c>
      <c r="K6" t="s">
        <v>432</v>
      </c>
      <c r="L6" t="s">
        <v>459</v>
      </c>
      <c r="M6" t="s">
        <v>389</v>
      </c>
      <c r="N6" t="s">
        <v>460</v>
      </c>
    </row>
    <row r="7" spans="1:21">
      <c r="A7" s="226"/>
      <c r="B7" s="226"/>
      <c r="C7" s="210" t="s">
        <v>328</v>
      </c>
      <c r="D7" s="210" t="s">
        <v>356</v>
      </c>
      <c r="F7" s="210"/>
    </row>
    <row r="8" spans="1:21">
      <c r="A8" s="25"/>
      <c r="B8" s="25"/>
      <c r="C8" s="227">
        <v>37986</v>
      </c>
      <c r="D8" s="227">
        <v>37621</v>
      </c>
      <c r="F8" s="227"/>
      <c r="G8" t="s">
        <v>461</v>
      </c>
    </row>
    <row r="9" spans="1:21">
      <c r="A9" s="25"/>
      <c r="B9" s="25" t="s">
        <v>337</v>
      </c>
      <c r="C9" s="228" t="s">
        <v>329</v>
      </c>
      <c r="D9" s="228" t="s">
        <v>329</v>
      </c>
      <c r="F9" s="228" t="s">
        <v>462</v>
      </c>
      <c r="G9">
        <f>6886-559</f>
        <v>6327</v>
      </c>
      <c r="H9">
        <v>-12055</v>
      </c>
      <c r="I9">
        <v>-2978</v>
      </c>
      <c r="J9">
        <v>2785</v>
      </c>
      <c r="L9">
        <v>43</v>
      </c>
      <c r="O9">
        <f>SUM(G9:K9)</f>
        <v>-5921</v>
      </c>
      <c r="P9">
        <f>+I9+J9+L9</f>
        <v>-150</v>
      </c>
    </row>
    <row r="10" spans="1:21">
      <c r="G10">
        <v>95</v>
      </c>
      <c r="H10">
        <v>-1637</v>
      </c>
      <c r="I10">
        <v>-72</v>
      </c>
      <c r="J10">
        <v>72</v>
      </c>
      <c r="L10">
        <v>19</v>
      </c>
      <c r="O10">
        <f>SUM(G10:K10)</f>
        <v>-1542</v>
      </c>
      <c r="P10">
        <f>+I10+J10+L10</f>
        <v>19</v>
      </c>
    </row>
    <row r="11" spans="1:21">
      <c r="A11" s="25" t="s">
        <v>357</v>
      </c>
      <c r="B11" s="25"/>
      <c r="G11">
        <v>1022</v>
      </c>
      <c r="H11">
        <v>-3811</v>
      </c>
      <c r="K11">
        <v>80</v>
      </c>
      <c r="O11">
        <f>SUM(G11:K11)</f>
        <v>-2709</v>
      </c>
      <c r="P11">
        <f>+I11+J11+L11</f>
        <v>0</v>
      </c>
      <c r="R11" s="25" t="s">
        <v>463</v>
      </c>
      <c r="S11" s="25" t="s">
        <v>408</v>
      </c>
      <c r="T11" s="25"/>
    </row>
    <row r="12" spans="1:21">
      <c r="A12" t="s">
        <v>358</v>
      </c>
      <c r="B12" s="210">
        <v>2</v>
      </c>
      <c r="C12" s="47">
        <f>+'[8]KLSE Balance Sheet'!C12</f>
        <v>144966</v>
      </c>
      <c r="D12" s="47">
        <v>171134</v>
      </c>
      <c r="E12" s="82"/>
      <c r="F12" s="47">
        <f>+C12-D12</f>
        <v>-26168</v>
      </c>
      <c r="G12" s="166">
        <f t="shared" ref="G12:P12" si="0">SUM(G9:G11)</f>
        <v>7444</v>
      </c>
      <c r="H12" s="166">
        <f t="shared" si="0"/>
        <v>-17503</v>
      </c>
      <c r="I12" s="166">
        <f t="shared" si="0"/>
        <v>-3050</v>
      </c>
      <c r="J12" s="166">
        <f t="shared" si="0"/>
        <v>2857</v>
      </c>
      <c r="K12" s="166">
        <f t="shared" si="0"/>
        <v>80</v>
      </c>
      <c r="L12" s="166">
        <f t="shared" si="0"/>
        <v>62</v>
      </c>
      <c r="M12" s="166">
        <f t="shared" si="0"/>
        <v>0</v>
      </c>
      <c r="N12" s="166">
        <f t="shared" si="0"/>
        <v>0</v>
      </c>
      <c r="O12" s="166">
        <f t="shared" si="0"/>
        <v>-10172</v>
      </c>
      <c r="P12" s="166">
        <f t="shared" si="0"/>
        <v>-131</v>
      </c>
      <c r="R12" s="25"/>
      <c r="S12" s="236" t="s">
        <v>329</v>
      </c>
      <c r="T12" s="236"/>
    </row>
    <row r="13" spans="1:21">
      <c r="A13" t="s">
        <v>464</v>
      </c>
      <c r="C13" s="259" t="s">
        <v>331</v>
      </c>
      <c r="D13" s="259" t="s">
        <v>331</v>
      </c>
      <c r="F13" s="259"/>
      <c r="R13" s="25" t="s">
        <v>384</v>
      </c>
      <c r="S13" s="50"/>
      <c r="T13" s="50"/>
    </row>
    <row r="14" spans="1:21">
      <c r="C14" s="47">
        <f>SUM(C12:C13)</f>
        <v>144966</v>
      </c>
      <c r="D14" s="47">
        <f>SUM(D12:D13)</f>
        <v>171134</v>
      </c>
      <c r="F14" s="47">
        <f>SUM(F12:F13)</f>
        <v>-26168</v>
      </c>
      <c r="R14" t="s">
        <v>433</v>
      </c>
      <c r="S14" s="26">
        <f>+'[8]KLSE Income statements'!E23</f>
        <v>-4512</v>
      </c>
      <c r="T14" s="26"/>
      <c r="U14">
        <v>-6718</v>
      </c>
    </row>
    <row r="15" spans="1:21">
      <c r="A15" s="25" t="s">
        <v>359</v>
      </c>
      <c r="B15" s="25"/>
      <c r="C15" s="47"/>
      <c r="D15" s="47"/>
      <c r="F15" s="47"/>
      <c r="R15" t="s">
        <v>465</v>
      </c>
      <c r="S15" s="26">
        <f>-L12-(+I12+J12)</f>
        <v>131</v>
      </c>
      <c r="T15" s="26"/>
      <c r="U15">
        <v>91</v>
      </c>
    </row>
    <row r="16" spans="1:21">
      <c r="A16" t="s">
        <v>204</v>
      </c>
      <c r="C16" s="47">
        <f>+'[8]KLSE Balance Sheet'!C15</f>
        <v>36779</v>
      </c>
      <c r="D16" s="47">
        <v>39304</v>
      </c>
      <c r="F16" s="47">
        <f>+C16-D16</f>
        <v>-2525</v>
      </c>
      <c r="P16" s="82"/>
      <c r="R16" t="s">
        <v>466</v>
      </c>
      <c r="S16" s="26">
        <f>-H12-K12</f>
        <v>17423</v>
      </c>
      <c r="T16" s="26"/>
      <c r="U16">
        <v>12934</v>
      </c>
    </row>
    <row r="17" spans="1:21">
      <c r="A17" t="s">
        <v>360</v>
      </c>
      <c r="C17" s="47">
        <f>+'[8]KLSE Balance Sheet'!C16</f>
        <v>35532</v>
      </c>
      <c r="D17" s="47">
        <v>31554</v>
      </c>
      <c r="F17" s="47">
        <f>+C17-D17</f>
        <v>3978</v>
      </c>
      <c r="P17" s="82"/>
      <c r="R17" t="s">
        <v>467</v>
      </c>
      <c r="S17" s="26">
        <f>-+F19</f>
        <v>-1453</v>
      </c>
      <c r="T17" s="26"/>
      <c r="U17">
        <v>-2197</v>
      </c>
    </row>
    <row r="18" spans="1:21">
      <c r="R18" t="s">
        <v>468</v>
      </c>
      <c r="S18" s="26">
        <f>+F22-1729-1</f>
        <v>-6241</v>
      </c>
      <c r="T18" s="26"/>
      <c r="U18">
        <v>2971</v>
      </c>
    </row>
    <row r="19" spans="1:21">
      <c r="C19" s="229">
        <f>SUM(C16:C18)</f>
        <v>72311</v>
      </c>
      <c r="D19" s="229">
        <f>SUM(D16:D18)</f>
        <v>70858</v>
      </c>
      <c r="F19" s="229">
        <f>SUM(F16:F18)</f>
        <v>1453</v>
      </c>
      <c r="R19" t="s">
        <v>469</v>
      </c>
      <c r="S19" s="26">
        <f>+F31</f>
        <v>654</v>
      </c>
      <c r="T19" s="26"/>
      <c r="U19">
        <v>452</v>
      </c>
    </row>
    <row r="20" spans="1:21">
      <c r="C20" s="47"/>
      <c r="D20" s="47"/>
      <c r="F20" s="47"/>
      <c r="R20" t="s">
        <v>470</v>
      </c>
      <c r="S20" s="26">
        <f>-946-39</f>
        <v>-985</v>
      </c>
      <c r="T20" s="26"/>
      <c r="U20">
        <v>-446</v>
      </c>
    </row>
    <row r="21" spans="1:21">
      <c r="A21" s="25" t="s">
        <v>362</v>
      </c>
      <c r="B21" s="25"/>
      <c r="C21" s="47"/>
      <c r="D21" s="47"/>
      <c r="F21" s="47"/>
      <c r="R21" t="s">
        <v>471</v>
      </c>
      <c r="S21">
        <v>7996</v>
      </c>
      <c r="U21">
        <v>10817</v>
      </c>
    </row>
    <row r="22" spans="1:21">
      <c r="A22" t="s">
        <v>363</v>
      </c>
      <c r="C22" s="47">
        <f>+'[8]KLSE Balance Sheet'!C22</f>
        <v>33594</v>
      </c>
      <c r="D22" s="47">
        <v>38105</v>
      </c>
      <c r="F22" s="47">
        <f>+C22-D22</f>
        <v>-4511</v>
      </c>
      <c r="P22" s="82"/>
      <c r="R22" s="30" t="s">
        <v>385</v>
      </c>
      <c r="S22" s="243">
        <f>SUM(S14:S21)</f>
        <v>13013</v>
      </c>
      <c r="T22" s="244"/>
      <c r="U22">
        <v>17904</v>
      </c>
    </row>
    <row r="23" spans="1:21">
      <c r="P23" s="82"/>
    </row>
    <row r="24" spans="1:21">
      <c r="A24" t="s">
        <v>340</v>
      </c>
      <c r="C24" s="47">
        <v>0</v>
      </c>
      <c r="D24" s="90"/>
      <c r="F24" s="90"/>
      <c r="R24" s="30" t="s">
        <v>385</v>
      </c>
      <c r="S24" s="219">
        <f>+S22</f>
        <v>13013</v>
      </c>
      <c r="T24" s="219"/>
      <c r="U24">
        <v>17904</v>
      </c>
    </row>
    <row r="25" spans="1:21">
      <c r="C25" s="229">
        <f>SUM(C22:C24)</f>
        <v>33594</v>
      </c>
      <c r="D25" s="229">
        <f>SUM(D22:D24)</f>
        <v>38105</v>
      </c>
      <c r="F25" s="229">
        <f>SUM(F22:F24)</f>
        <v>-4511</v>
      </c>
      <c r="R25" s="30" t="s">
        <v>386</v>
      </c>
      <c r="S25" s="219">
        <v>0</v>
      </c>
      <c r="T25" s="219"/>
      <c r="U25">
        <v>0</v>
      </c>
    </row>
    <row r="26" spans="1:21">
      <c r="C26" s="47"/>
      <c r="D26" s="47"/>
      <c r="F26" s="47"/>
      <c r="R26" s="30" t="s">
        <v>472</v>
      </c>
      <c r="S26" s="219">
        <f>+-S20</f>
        <v>985</v>
      </c>
      <c r="T26" s="219"/>
      <c r="U26">
        <v>446</v>
      </c>
    </row>
    <row r="27" spans="1:21">
      <c r="A27" s="25" t="s">
        <v>365</v>
      </c>
      <c r="B27" s="25"/>
      <c r="C27" s="90">
        <f>+C19-C25</f>
        <v>38717</v>
      </c>
      <c r="D27" s="90">
        <f>+D19-D25</f>
        <v>32753</v>
      </c>
      <c r="F27" s="90">
        <f>+F19-F25</f>
        <v>5964</v>
      </c>
      <c r="P27" s="82"/>
      <c r="R27" s="30" t="s">
        <v>389</v>
      </c>
      <c r="S27" s="219">
        <f>+M34</f>
        <v>-1360</v>
      </c>
      <c r="T27" s="219"/>
      <c r="U27">
        <v>-385</v>
      </c>
    </row>
    <row r="28" spans="1:21">
      <c r="C28" s="47"/>
      <c r="D28" s="47"/>
      <c r="F28" s="47"/>
      <c r="R28" s="30" t="s">
        <v>390</v>
      </c>
      <c r="S28" s="237">
        <f>SUM(S24:S27)</f>
        <v>12638</v>
      </c>
      <c r="T28" s="220"/>
      <c r="U28">
        <v>17965</v>
      </c>
    </row>
    <row r="29" spans="1:21">
      <c r="C29" s="47"/>
      <c r="D29" s="47"/>
      <c r="F29" s="47"/>
      <c r="R29" s="25"/>
      <c r="S29" s="219"/>
      <c r="T29" s="219"/>
    </row>
    <row r="30" spans="1:21">
      <c r="A30" s="25" t="s">
        <v>366</v>
      </c>
      <c r="B30" s="25"/>
      <c r="C30" s="47"/>
      <c r="D30" s="47"/>
      <c r="F30" s="47"/>
      <c r="R30" s="25"/>
      <c r="S30" s="219"/>
      <c r="T30" s="219"/>
    </row>
    <row r="31" spans="1:21">
      <c r="A31" t="s">
        <v>367</v>
      </c>
      <c r="C31" s="47">
        <v>4113</v>
      </c>
      <c r="D31" s="47">
        <v>3459</v>
      </c>
      <c r="F31" s="47">
        <f>+C31-D31</f>
        <v>654</v>
      </c>
      <c r="P31" s="82"/>
      <c r="R31" s="25" t="s">
        <v>391</v>
      </c>
      <c r="S31" s="219"/>
      <c r="T31" s="219"/>
    </row>
    <row r="32" spans="1:21">
      <c r="A32" t="s">
        <v>473</v>
      </c>
      <c r="F32" s="47">
        <f>+C24-D32</f>
        <v>0</v>
      </c>
    </row>
    <row r="33" spans="1:21">
      <c r="C33" s="229">
        <f>SUM(C31:C32)</f>
        <v>4113</v>
      </c>
      <c r="D33" s="229">
        <f>SUM(D31:D32)</f>
        <v>3459</v>
      </c>
      <c r="F33" s="229">
        <f>SUM(F31:F32)</f>
        <v>654</v>
      </c>
      <c r="R33" s="30" t="s">
        <v>393</v>
      </c>
      <c r="S33" s="219">
        <f>+L12</f>
        <v>62</v>
      </c>
      <c r="T33" s="219"/>
      <c r="U33">
        <v>69</v>
      </c>
    </row>
    <row r="34" spans="1:21">
      <c r="A34" t="s">
        <v>364</v>
      </c>
      <c r="C34" s="47">
        <f>9+123</f>
        <v>132</v>
      </c>
      <c r="D34" s="47">
        <v>5</v>
      </c>
      <c r="F34" s="47">
        <f>+C34-D34</f>
        <v>127</v>
      </c>
      <c r="M34">
        <v>-1360</v>
      </c>
      <c r="N34" s="82">
        <v>1487</v>
      </c>
      <c r="O34">
        <f>SUM(G34:N34)</f>
        <v>127</v>
      </c>
      <c r="R34" s="38" t="s">
        <v>474</v>
      </c>
      <c r="S34" s="220">
        <v>8000</v>
      </c>
      <c r="T34" s="220"/>
      <c r="U34">
        <v>0</v>
      </c>
    </row>
    <row r="35" spans="1:21">
      <c r="A35" t="s">
        <v>368</v>
      </c>
      <c r="C35" s="47">
        <f>+'[8]KLSE Balance Sheet'!C33</f>
        <v>20201</v>
      </c>
      <c r="D35" s="47">
        <f>16305+8706-2188-3095</f>
        <v>19728</v>
      </c>
      <c r="F35" s="47">
        <f>+C35-D35</f>
        <v>473</v>
      </c>
      <c r="N35">
        <v>350</v>
      </c>
      <c r="P35" s="82"/>
      <c r="R35" s="30" t="s">
        <v>392</v>
      </c>
      <c r="S35" s="219">
        <f>-+G12+1729</f>
        <v>-5715</v>
      </c>
      <c r="T35" s="219"/>
      <c r="U35">
        <v>-4996</v>
      </c>
    </row>
    <row r="36" spans="1:21">
      <c r="C36" s="47"/>
      <c r="D36" s="47"/>
      <c r="F36" s="260">
        <f>SUM(F34:F35)</f>
        <v>600</v>
      </c>
      <c r="N36" s="246">
        <f>+N34+N35</f>
        <v>1837</v>
      </c>
      <c r="R36" s="30"/>
      <c r="S36" s="220"/>
      <c r="T36" s="220"/>
    </row>
    <row r="37" spans="1:21" ht="13.5" thickBot="1">
      <c r="C37" s="231">
        <f>+C14+C27-C33-C34-C35+C39</f>
        <v>203571</v>
      </c>
      <c r="D37" s="231">
        <f>+D14+D27-D33-D34-D35+D39</f>
        <v>219542</v>
      </c>
      <c r="F37" s="231">
        <f>+F14+F27-F33</f>
        <v>-20858</v>
      </c>
      <c r="R37" s="30" t="s">
        <v>396</v>
      </c>
      <c r="S37" s="237">
        <f>SUM(S33:S36)</f>
        <v>2347</v>
      </c>
      <c r="T37" s="220"/>
      <c r="U37">
        <v>-4927</v>
      </c>
    </row>
    <row r="38" spans="1:21">
      <c r="C38" s="47"/>
      <c r="D38" s="47"/>
      <c r="F38" s="47"/>
      <c r="R38" s="25"/>
      <c r="S38" s="220"/>
      <c r="T38" s="220"/>
    </row>
    <row r="39" spans="1:21">
      <c r="A39" t="s">
        <v>361</v>
      </c>
      <c r="C39" s="90">
        <v>44334</v>
      </c>
      <c r="D39" s="90">
        <v>38847</v>
      </c>
      <c r="F39" s="261">
        <f>+C39-D39</f>
        <v>5487</v>
      </c>
      <c r="R39" s="25" t="s">
        <v>397</v>
      </c>
      <c r="S39" s="220"/>
      <c r="T39" s="220"/>
    </row>
    <row r="40" spans="1:21">
      <c r="C40" s="47"/>
      <c r="D40" s="47"/>
      <c r="F40" s="47"/>
      <c r="R40" s="38" t="s">
        <v>398</v>
      </c>
      <c r="S40" s="220">
        <v>182</v>
      </c>
      <c r="T40" s="220"/>
      <c r="U40">
        <v>28</v>
      </c>
    </row>
    <row r="41" spans="1:21">
      <c r="C41" s="47"/>
      <c r="D41" s="47"/>
      <c r="F41" s="47"/>
      <c r="R41" s="38" t="s">
        <v>399</v>
      </c>
      <c r="S41" s="220">
        <v>-9601</v>
      </c>
      <c r="T41" s="220"/>
      <c r="U41">
        <v>-9601</v>
      </c>
    </row>
    <row r="42" spans="1:21">
      <c r="A42" s="25" t="s">
        <v>369</v>
      </c>
      <c r="B42" s="25"/>
      <c r="C42" s="47"/>
      <c r="D42" s="47"/>
      <c r="F42" s="47"/>
      <c r="R42" s="38"/>
      <c r="S42" s="220"/>
      <c r="T42" s="220"/>
      <c r="U42">
        <v>0</v>
      </c>
    </row>
    <row r="43" spans="1:21">
      <c r="A43" t="s">
        <v>370</v>
      </c>
      <c r="C43" s="47">
        <v>132463</v>
      </c>
      <c r="D43" s="47">
        <v>132293</v>
      </c>
      <c r="F43" s="47">
        <f>+C43-D43</f>
        <v>170</v>
      </c>
      <c r="R43" s="38" t="s">
        <v>400</v>
      </c>
      <c r="S43" s="220">
        <v>-79</v>
      </c>
      <c r="T43" s="220"/>
      <c r="U43">
        <v>-79</v>
      </c>
    </row>
    <row r="44" spans="1:21">
      <c r="A44" t="s">
        <v>371</v>
      </c>
      <c r="C44" s="232">
        <f>+'[8]KLSE Balance Sheet'!C40</f>
        <v>56836</v>
      </c>
      <c r="D44" s="90">
        <f>74580-6518+3095</f>
        <v>71157</v>
      </c>
      <c r="F44" s="90">
        <f>+C44-D44</f>
        <v>-14321</v>
      </c>
      <c r="P44" s="82"/>
      <c r="R44" s="25" t="s">
        <v>401</v>
      </c>
      <c r="S44" s="237">
        <f>SUM(S40:S43)</f>
        <v>-9498</v>
      </c>
      <c r="T44" s="220"/>
      <c r="U44">
        <v>-9652</v>
      </c>
    </row>
    <row r="45" spans="1:21">
      <c r="A45" t="s">
        <v>372</v>
      </c>
      <c r="C45" s="47">
        <f>+C43+C44</f>
        <v>189299</v>
      </c>
      <c r="D45" s="47">
        <f>+D43+D44</f>
        <v>203450</v>
      </c>
      <c r="F45" s="47">
        <f>+F43+F44</f>
        <v>-14151</v>
      </c>
      <c r="P45">
        <f>SUM(P33:P44)</f>
        <v>0</v>
      </c>
      <c r="R45" s="25"/>
      <c r="S45" s="220"/>
      <c r="T45" s="220"/>
    </row>
    <row r="46" spans="1:21">
      <c r="A46" s="25" t="s">
        <v>347</v>
      </c>
      <c r="B46" s="25"/>
      <c r="C46" s="47">
        <v>14272</v>
      </c>
      <c r="D46" s="47">
        <v>16092</v>
      </c>
      <c r="F46" s="47">
        <f>+C46-D46</f>
        <v>-1820</v>
      </c>
      <c r="R46" s="25" t="s">
        <v>402</v>
      </c>
      <c r="S46" s="220">
        <f>S28+S37+S44</f>
        <v>5487</v>
      </c>
      <c r="T46" s="220"/>
      <c r="U46">
        <v>3386</v>
      </c>
    </row>
    <row r="47" spans="1:21" ht="22.5" customHeight="1" thickBot="1">
      <c r="C47" s="233">
        <f>+C45+C46</f>
        <v>203571</v>
      </c>
      <c r="D47" s="233">
        <f>+D45+D46</f>
        <v>219542</v>
      </c>
      <c r="F47" s="233">
        <f>+F45+F46</f>
        <v>-15971</v>
      </c>
      <c r="R47" s="25"/>
      <c r="S47" s="219"/>
      <c r="T47" s="219"/>
    </row>
    <row r="48" spans="1:21">
      <c r="C48" s="82">
        <f>+C37-C47</f>
        <v>0</v>
      </c>
      <c r="D48" s="82">
        <f>+D37-D47</f>
        <v>0</v>
      </c>
      <c r="F48" s="82"/>
      <c r="R48" s="25" t="s">
        <v>403</v>
      </c>
      <c r="S48" s="219">
        <f>+D39</f>
        <v>38847</v>
      </c>
      <c r="T48" s="219"/>
      <c r="U48">
        <v>38847</v>
      </c>
    </row>
    <row r="49" spans="18:21">
      <c r="R49" s="25"/>
      <c r="S49" s="219"/>
      <c r="T49" s="219"/>
    </row>
    <row r="50" spans="18:21" ht="13.5" thickBot="1">
      <c r="R50" s="25" t="s">
        <v>475</v>
      </c>
      <c r="S50" s="239">
        <f>SUM(S46:S49)</f>
        <v>44334</v>
      </c>
      <c r="T50" s="220"/>
      <c r="U50">
        <v>42233</v>
      </c>
    </row>
    <row r="52" spans="18:21">
      <c r="S52" s="82">
        <f>+C39</f>
        <v>44334</v>
      </c>
      <c r="T52" s="82"/>
      <c r="U52">
        <v>42233</v>
      </c>
    </row>
    <row r="53" spans="18:21">
      <c r="S53" s="82">
        <f>+S50-S52</f>
        <v>0</v>
      </c>
      <c r="T53" s="82"/>
      <c r="U53">
        <v>0</v>
      </c>
    </row>
  </sheetData>
  <phoneticPr fontId="0" type="noConversion"/>
  <pageMargins left="0.37" right="0.18" top="0.3" bottom="0.48" header="0.17" footer="0.23"/>
  <pageSetup paperSize="9" scale="55" orientation="landscape" blackAndWhite="1" horizontalDpi="1200" verticalDpi="1200" r:id="rId1"/>
  <headerFooter alignWithMargins="0">
    <oddFooter>&amp;L&amp;D&amp;F&amp;A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 enableFormatConditionsCalculation="0">
    <tabColor theme="1" tint="0.499984740745262"/>
    <pageSetUpPr fitToPage="1"/>
  </sheetPr>
  <dimension ref="A1:AZ83"/>
  <sheetViews>
    <sheetView topLeftCell="A32" workbookViewId="0"/>
  </sheetViews>
  <sheetFormatPr defaultRowHeight="12.75"/>
  <cols>
    <col min="1" max="1" width="27.7109375" bestFit="1" customWidth="1"/>
    <col min="2" max="2" width="11.42578125" bestFit="1" customWidth="1"/>
    <col min="3" max="4" width="11.85546875" bestFit="1" customWidth="1"/>
    <col min="5" max="5" width="11.7109375" bestFit="1" customWidth="1"/>
    <col min="7" max="7" width="11.42578125" bestFit="1" customWidth="1"/>
    <col min="8" max="9" width="11.85546875" bestFit="1" customWidth="1"/>
    <col min="10" max="10" width="11.7109375" bestFit="1" customWidth="1"/>
    <col min="12" max="12" width="11.42578125" bestFit="1" customWidth="1"/>
    <col min="13" max="14" width="11.85546875" bestFit="1" customWidth="1"/>
    <col min="15" max="15" width="11.7109375" bestFit="1" customWidth="1"/>
    <col min="17" max="17" width="11.42578125" bestFit="1" customWidth="1"/>
    <col min="18" max="19" width="11.85546875" bestFit="1" customWidth="1"/>
    <col min="20" max="20" width="11.7109375" bestFit="1" customWidth="1"/>
    <col min="22" max="22" width="10.85546875" customWidth="1"/>
    <col min="23" max="23" width="11.5703125" bestFit="1" customWidth="1"/>
    <col min="24" max="25" width="11" bestFit="1" customWidth="1"/>
    <col min="26" max="26" width="10.85546875" customWidth="1"/>
    <col min="28" max="28" width="10.85546875" customWidth="1"/>
    <col min="29" max="29" width="11.5703125" bestFit="1" customWidth="1"/>
    <col min="30" max="31" width="11" bestFit="1" customWidth="1"/>
    <col min="33" max="33" width="10.85546875" customWidth="1"/>
    <col min="34" max="34" width="11.5703125" bestFit="1" customWidth="1"/>
    <col min="35" max="36" width="11" bestFit="1" customWidth="1"/>
    <col min="38" max="38" width="10.85546875" customWidth="1"/>
    <col min="39" max="39" width="11.5703125" bestFit="1" customWidth="1"/>
    <col min="40" max="41" width="11" bestFit="1" customWidth="1"/>
    <col min="43" max="43" width="10.85546875" customWidth="1"/>
    <col min="44" max="44" width="11.5703125" bestFit="1" customWidth="1"/>
    <col min="45" max="45" width="11" bestFit="1" customWidth="1"/>
    <col min="46" max="46" width="11" style="116" bestFit="1" customWidth="1"/>
    <col min="47" max="47" width="8.140625" style="116" bestFit="1" customWidth="1"/>
    <col min="48" max="48" width="10.85546875" customWidth="1"/>
    <col min="49" max="49" width="11.5703125" bestFit="1" customWidth="1"/>
    <col min="50" max="51" width="11" bestFit="1" customWidth="1"/>
    <col min="52" max="52" width="5.5703125" bestFit="1" customWidth="1"/>
  </cols>
  <sheetData>
    <row r="1" spans="1:51">
      <c r="A1" s="25" t="s">
        <v>404</v>
      </c>
    </row>
    <row r="2" spans="1:51">
      <c r="B2" t="s">
        <v>772</v>
      </c>
      <c r="C2" t="s">
        <v>773</v>
      </c>
      <c r="D2" t="s">
        <v>783</v>
      </c>
      <c r="E2" s="445" t="s">
        <v>819</v>
      </c>
      <c r="F2" s="240"/>
      <c r="G2" t="s">
        <v>772</v>
      </c>
      <c r="H2" t="s">
        <v>773</v>
      </c>
      <c r="I2" t="s">
        <v>783</v>
      </c>
      <c r="J2" s="445" t="s">
        <v>819</v>
      </c>
      <c r="K2" s="240"/>
      <c r="L2" t="s">
        <v>772</v>
      </c>
      <c r="M2" t="s">
        <v>773</v>
      </c>
      <c r="N2" t="s">
        <v>783</v>
      </c>
      <c r="O2" s="445" t="s">
        <v>819</v>
      </c>
      <c r="P2" s="240"/>
      <c r="Q2" t="s">
        <v>772</v>
      </c>
      <c r="R2" t="s">
        <v>773</v>
      </c>
      <c r="S2" t="s">
        <v>783</v>
      </c>
      <c r="T2" s="445" t="s">
        <v>818</v>
      </c>
      <c r="U2" s="240"/>
      <c r="V2" t="s">
        <v>690</v>
      </c>
      <c r="W2" t="s">
        <v>691</v>
      </c>
      <c r="X2" t="s">
        <v>692</v>
      </c>
      <c r="Y2" t="s">
        <v>693</v>
      </c>
      <c r="Z2" t="s">
        <v>726</v>
      </c>
      <c r="AA2" s="240"/>
      <c r="AB2" t="s">
        <v>646</v>
      </c>
      <c r="AC2" t="s">
        <v>653</v>
      </c>
      <c r="AD2" t="s">
        <v>654</v>
      </c>
      <c r="AE2" t="s">
        <v>655</v>
      </c>
      <c r="AF2" s="240"/>
      <c r="AG2" t="s">
        <v>615</v>
      </c>
      <c r="AH2" t="s">
        <v>616</v>
      </c>
      <c r="AI2" t="s">
        <v>617</v>
      </c>
      <c r="AJ2" t="s">
        <v>618</v>
      </c>
      <c r="AK2" s="240"/>
      <c r="AL2" t="s">
        <v>481</v>
      </c>
      <c r="AM2" t="s">
        <v>482</v>
      </c>
      <c r="AN2" t="s">
        <v>483</v>
      </c>
      <c r="AO2" t="s">
        <v>484</v>
      </c>
      <c r="AP2" s="240"/>
      <c r="AQ2" t="s">
        <v>405</v>
      </c>
      <c r="AR2" t="s">
        <v>406</v>
      </c>
      <c r="AS2" t="s">
        <v>407</v>
      </c>
      <c r="AT2" t="s">
        <v>408</v>
      </c>
      <c r="AV2" t="s">
        <v>409</v>
      </c>
      <c r="AW2" t="s">
        <v>410</v>
      </c>
      <c r="AX2" t="s">
        <v>411</v>
      </c>
      <c r="AY2" t="s">
        <v>412</v>
      </c>
    </row>
    <row r="3" spans="1:51">
      <c r="B3" t="s">
        <v>413</v>
      </c>
      <c r="C3" t="s">
        <v>413</v>
      </c>
      <c r="D3" t="s">
        <v>413</v>
      </c>
      <c r="E3" t="s">
        <v>413</v>
      </c>
      <c r="G3" t="s">
        <v>413</v>
      </c>
      <c r="H3" t="s">
        <v>413</v>
      </c>
      <c r="I3" t="s">
        <v>413</v>
      </c>
      <c r="J3" t="s">
        <v>413</v>
      </c>
      <c r="L3" t="s">
        <v>413</v>
      </c>
      <c r="M3" t="s">
        <v>413</v>
      </c>
      <c r="N3" t="s">
        <v>413</v>
      </c>
      <c r="O3" t="s">
        <v>413</v>
      </c>
      <c r="Q3" t="s">
        <v>413</v>
      </c>
      <c r="R3" t="s">
        <v>413</v>
      </c>
      <c r="S3" t="s">
        <v>413</v>
      </c>
      <c r="T3" t="s">
        <v>413</v>
      </c>
      <c r="V3" t="s">
        <v>413</v>
      </c>
      <c r="W3" t="s">
        <v>413</v>
      </c>
      <c r="X3" t="s">
        <v>413</v>
      </c>
      <c r="Y3" t="s">
        <v>413</v>
      </c>
      <c r="Z3" t="s">
        <v>413</v>
      </c>
      <c r="AB3" t="s">
        <v>413</v>
      </c>
      <c r="AC3" t="s">
        <v>413</v>
      </c>
      <c r="AD3" t="s">
        <v>413</v>
      </c>
      <c r="AE3" t="s">
        <v>413</v>
      </c>
      <c r="AG3" t="s">
        <v>413</v>
      </c>
      <c r="AH3" t="s">
        <v>413</v>
      </c>
      <c r="AI3" t="s">
        <v>413</v>
      </c>
      <c r="AJ3" t="s">
        <v>413</v>
      </c>
      <c r="AL3" t="s">
        <v>413</v>
      </c>
      <c r="AM3" t="s">
        <v>413</v>
      </c>
      <c r="AN3" t="s">
        <v>413</v>
      </c>
      <c r="AO3" t="s">
        <v>413</v>
      </c>
      <c r="AQ3" t="s">
        <v>413</v>
      </c>
      <c r="AR3" t="s">
        <v>413</v>
      </c>
      <c r="AS3" t="s">
        <v>413</v>
      </c>
      <c r="AT3" t="s">
        <v>413</v>
      </c>
    </row>
    <row r="4" spans="1:51">
      <c r="B4" s="445" t="s">
        <v>2521</v>
      </c>
      <c r="C4" s="445" t="s">
        <v>2521</v>
      </c>
      <c r="D4" s="445" t="s">
        <v>2521</v>
      </c>
      <c r="E4" s="445" t="s">
        <v>2521</v>
      </c>
      <c r="G4" s="445" t="s">
        <v>2518</v>
      </c>
      <c r="H4" s="445" t="s">
        <v>2518</v>
      </c>
      <c r="I4" s="445" t="s">
        <v>2518</v>
      </c>
      <c r="J4" s="445" t="s">
        <v>2518</v>
      </c>
      <c r="L4" s="445" t="s">
        <v>2519</v>
      </c>
      <c r="M4" s="445" t="s">
        <v>2519</v>
      </c>
      <c r="N4" s="445" t="s">
        <v>2519</v>
      </c>
      <c r="O4" s="445" t="s">
        <v>2519</v>
      </c>
    </row>
    <row r="6" spans="1:51">
      <c r="A6" s="25" t="s">
        <v>414</v>
      </c>
    </row>
    <row r="7" spans="1:51">
      <c r="A7" t="s">
        <v>415</v>
      </c>
      <c r="B7">
        <v>1369</v>
      </c>
      <c r="E7" s="435"/>
      <c r="G7">
        <v>1585</v>
      </c>
      <c r="H7">
        <v>3169</v>
      </c>
      <c r="I7" s="537">
        <v>4674.4160000000002</v>
      </c>
      <c r="J7" s="435">
        <v>6135</v>
      </c>
      <c r="L7">
        <v>1034</v>
      </c>
      <c r="M7">
        <v>2589</v>
      </c>
      <c r="N7">
        <v>3898</v>
      </c>
      <c r="O7" s="435">
        <v>5538</v>
      </c>
      <c r="Q7">
        <v>2058</v>
      </c>
      <c r="R7">
        <v>3935</v>
      </c>
      <c r="S7">
        <v>4952</v>
      </c>
      <c r="T7" s="435">
        <v>5630</v>
      </c>
      <c r="V7">
        <v>1392</v>
      </c>
      <c r="W7">
        <v>3318</v>
      </c>
      <c r="X7">
        <v>4817</v>
      </c>
      <c r="Y7">
        <v>6358</v>
      </c>
      <c r="Z7">
        <f>6778+V7</f>
        <v>8170</v>
      </c>
      <c r="AB7">
        <v>1458</v>
      </c>
      <c r="AC7">
        <v>3023</v>
      </c>
      <c r="AD7">
        <v>4622</v>
      </c>
      <c r="AE7">
        <v>5981</v>
      </c>
      <c r="AG7">
        <v>1467</v>
      </c>
      <c r="AH7">
        <v>3218</v>
      </c>
      <c r="AI7">
        <v>5135</v>
      </c>
      <c r="AJ7">
        <f>6654+1</f>
        <v>6655</v>
      </c>
      <c r="AL7">
        <v>1471.4989999999998</v>
      </c>
      <c r="AM7">
        <v>2693</v>
      </c>
      <c r="AN7">
        <v>4107</v>
      </c>
      <c r="AO7">
        <v>5440</v>
      </c>
      <c r="AQ7" s="82">
        <v>1610.9860000000001</v>
      </c>
      <c r="AR7" s="82">
        <v>3403.326</v>
      </c>
      <c r="AS7" s="82">
        <v>5230.5419999999995</v>
      </c>
      <c r="AT7" s="241">
        <v>6722</v>
      </c>
      <c r="AU7" s="241"/>
      <c r="AV7" s="26">
        <v>1343.7850000000001</v>
      </c>
      <c r="AW7" s="26">
        <v>3149.93</v>
      </c>
      <c r="AX7" s="26">
        <v>5479.6420000000007</v>
      </c>
      <c r="AY7">
        <v>7214</v>
      </c>
    </row>
    <row r="8" spans="1:51">
      <c r="A8" t="s">
        <v>416</v>
      </c>
      <c r="B8">
        <v>613</v>
      </c>
      <c r="E8" s="435"/>
      <c r="G8">
        <v>776</v>
      </c>
      <c r="H8">
        <v>1618</v>
      </c>
      <c r="I8" s="537">
        <v>2505.0250000000001</v>
      </c>
      <c r="J8" s="435">
        <v>3280</v>
      </c>
      <c r="L8">
        <v>521</v>
      </c>
      <c r="M8">
        <v>1315</v>
      </c>
      <c r="N8">
        <v>2227</v>
      </c>
      <c r="O8" s="435">
        <v>2926</v>
      </c>
      <c r="Q8">
        <v>1403</v>
      </c>
      <c r="R8">
        <v>2632</v>
      </c>
      <c r="S8">
        <v>3503</v>
      </c>
      <c r="T8" s="435">
        <v>3994</v>
      </c>
      <c r="V8">
        <v>1379</v>
      </c>
      <c r="W8">
        <v>3075</v>
      </c>
      <c r="X8">
        <v>4978</v>
      </c>
      <c r="Y8">
        <v>6386</v>
      </c>
      <c r="Z8">
        <f>6123+V8</f>
        <v>7502</v>
      </c>
      <c r="AB8">
        <v>1053</v>
      </c>
      <c r="AC8">
        <v>2653</v>
      </c>
      <c r="AD8">
        <v>4115</v>
      </c>
      <c r="AE8">
        <v>5510</v>
      </c>
      <c r="AG8">
        <v>818</v>
      </c>
      <c r="AH8">
        <v>1899</v>
      </c>
      <c r="AI8">
        <v>3255</v>
      </c>
      <c r="AJ8">
        <v>4454</v>
      </c>
      <c r="AL8">
        <v>661.88099999999997</v>
      </c>
      <c r="AM8">
        <v>1656</v>
      </c>
      <c r="AN8">
        <v>2890</v>
      </c>
      <c r="AO8">
        <v>3724</v>
      </c>
      <c r="AQ8" s="82">
        <v>490.02100000000002</v>
      </c>
      <c r="AR8" s="82">
        <v>1112.413</v>
      </c>
      <c r="AS8" s="82">
        <v>1846.135</v>
      </c>
      <c r="AT8" s="241">
        <v>2448</v>
      </c>
      <c r="AU8" s="241"/>
      <c r="AV8" s="26">
        <v>518.42700000000002</v>
      </c>
      <c r="AW8" s="26">
        <v>1335.848</v>
      </c>
      <c r="AX8" s="26">
        <v>2127.1</v>
      </c>
      <c r="AY8">
        <v>2640</v>
      </c>
    </row>
    <row r="9" spans="1:51">
      <c r="A9" t="s">
        <v>728</v>
      </c>
      <c r="B9">
        <v>3439</v>
      </c>
      <c r="E9" s="435"/>
      <c r="G9">
        <v>2705</v>
      </c>
      <c r="H9">
        <v>5247</v>
      </c>
      <c r="I9" s="537">
        <v>8184.473</v>
      </c>
      <c r="J9" s="435">
        <v>11181</v>
      </c>
      <c r="L9">
        <v>2180</v>
      </c>
      <c r="M9">
        <v>4061</v>
      </c>
      <c r="N9">
        <v>6464</v>
      </c>
      <c r="O9" s="435">
        <v>9032</v>
      </c>
      <c r="Q9">
        <v>3065</v>
      </c>
      <c r="R9">
        <f>5901-1</f>
        <v>5900</v>
      </c>
      <c r="S9">
        <v>8349</v>
      </c>
      <c r="T9" s="435">
        <v>9890</v>
      </c>
      <c r="V9">
        <v>2811</v>
      </c>
      <c r="W9">
        <v>5571</v>
      </c>
      <c r="X9">
        <v>8247</v>
      </c>
      <c r="Y9">
        <v>11228</v>
      </c>
      <c r="Z9">
        <f>11665+V9</f>
        <v>14476</v>
      </c>
      <c r="AB9">
        <v>3507</v>
      </c>
      <c r="AC9">
        <v>6621</v>
      </c>
      <c r="AD9">
        <v>8763</v>
      </c>
      <c r="AE9">
        <v>11226</v>
      </c>
      <c r="AG9">
        <v>3045</v>
      </c>
      <c r="AH9">
        <v>6292</v>
      </c>
      <c r="AI9">
        <v>8654</v>
      </c>
      <c r="AJ9">
        <v>11280</v>
      </c>
      <c r="AL9">
        <v>2816.24</v>
      </c>
      <c r="AM9">
        <v>5709</v>
      </c>
      <c r="AN9">
        <v>8064</v>
      </c>
      <c r="AO9">
        <v>10640</v>
      </c>
      <c r="AQ9" s="82">
        <v>2044.1849999999999</v>
      </c>
      <c r="AR9" s="82">
        <v>4163.6279999999997</v>
      </c>
      <c r="AS9" s="82">
        <v>5555.7550000000001</v>
      </c>
      <c r="AT9" s="241">
        <v>7449</v>
      </c>
      <c r="AU9" s="241"/>
      <c r="AV9" s="26">
        <v>1803.5520000000001</v>
      </c>
      <c r="AW9" s="26">
        <v>4068.6630000000005</v>
      </c>
      <c r="AX9" s="26">
        <v>5489.7929999999997</v>
      </c>
      <c r="AY9">
        <v>6993</v>
      </c>
    </row>
    <row r="10" spans="1:51">
      <c r="A10" t="s">
        <v>418</v>
      </c>
      <c r="B10">
        <v>61</v>
      </c>
      <c r="E10" s="435"/>
      <c r="G10">
        <v>140</v>
      </c>
      <c r="H10">
        <v>246</v>
      </c>
      <c r="I10" s="537">
        <v>298.83099999999996</v>
      </c>
      <c r="J10" s="435">
        <v>331</v>
      </c>
      <c r="L10">
        <v>163</v>
      </c>
      <c r="M10">
        <v>357</v>
      </c>
      <c r="N10">
        <v>474</v>
      </c>
      <c r="O10" s="435">
        <v>605</v>
      </c>
      <c r="Q10">
        <v>82</v>
      </c>
      <c r="R10">
        <v>122</v>
      </c>
      <c r="S10">
        <v>220</v>
      </c>
      <c r="T10" s="435">
        <v>252</v>
      </c>
      <c r="V10">
        <v>71</v>
      </c>
      <c r="W10">
        <v>169</v>
      </c>
      <c r="X10">
        <v>325</v>
      </c>
      <c r="Y10">
        <v>514</v>
      </c>
      <c r="Z10">
        <f>572+V10</f>
        <v>643</v>
      </c>
      <c r="AB10">
        <v>99</v>
      </c>
      <c r="AC10">
        <v>171</v>
      </c>
      <c r="AD10">
        <v>283</v>
      </c>
      <c r="AE10">
        <v>399</v>
      </c>
      <c r="AG10">
        <v>270</v>
      </c>
      <c r="AH10">
        <v>357</v>
      </c>
      <c r="AI10">
        <v>521</v>
      </c>
      <c r="AJ10">
        <v>639</v>
      </c>
      <c r="AL10">
        <v>543.32599999999991</v>
      </c>
      <c r="AM10">
        <v>782</v>
      </c>
      <c r="AN10">
        <v>1020</v>
      </c>
      <c r="AO10">
        <v>1252</v>
      </c>
      <c r="AQ10" s="82">
        <v>392.89</v>
      </c>
      <c r="AR10" s="82">
        <v>987.26</v>
      </c>
      <c r="AS10" s="82">
        <v>1446.9380000000001</v>
      </c>
      <c r="AT10" s="241">
        <v>2025</v>
      </c>
      <c r="AU10" s="129"/>
      <c r="AV10" s="26">
        <v>246.64800000000002</v>
      </c>
      <c r="AW10" s="26">
        <v>641.91199999999992</v>
      </c>
      <c r="AX10" s="26">
        <v>1003.6719999999999</v>
      </c>
      <c r="AY10">
        <v>1392</v>
      </c>
    </row>
    <row r="11" spans="1:51">
      <c r="A11" t="s">
        <v>419</v>
      </c>
      <c r="B11">
        <v>1552</v>
      </c>
      <c r="E11" s="435"/>
      <c r="G11">
        <v>1551</v>
      </c>
      <c r="H11">
        <v>3138</v>
      </c>
      <c r="I11" s="537">
        <v>4720.1399999999994</v>
      </c>
      <c r="J11" s="435">
        <v>6596</v>
      </c>
      <c r="L11">
        <v>1312</v>
      </c>
      <c r="M11">
        <v>2968</v>
      </c>
      <c r="N11">
        <v>4742</v>
      </c>
      <c r="O11" s="435">
        <v>6482</v>
      </c>
      <c r="Q11">
        <v>1132</v>
      </c>
      <c r="R11">
        <v>2059</v>
      </c>
      <c r="S11">
        <v>2618</v>
      </c>
      <c r="T11" s="435">
        <v>3249</v>
      </c>
      <c r="V11">
        <v>1514</v>
      </c>
      <c r="W11">
        <v>2869</v>
      </c>
      <c r="X11">
        <v>3963</v>
      </c>
      <c r="Y11">
        <v>5048</v>
      </c>
      <c r="Z11">
        <f>5274+V11</f>
        <v>6788</v>
      </c>
      <c r="AB11">
        <v>1067</v>
      </c>
      <c r="AC11">
        <v>2159</v>
      </c>
      <c r="AD11">
        <v>3164</v>
      </c>
      <c r="AE11">
        <v>4155</v>
      </c>
      <c r="AG11">
        <v>1447</v>
      </c>
      <c r="AH11">
        <v>2418</v>
      </c>
      <c r="AI11">
        <v>3325</v>
      </c>
      <c r="AJ11">
        <v>4216</v>
      </c>
      <c r="AL11">
        <v>1441.223</v>
      </c>
      <c r="AM11">
        <v>2762</v>
      </c>
      <c r="AN11">
        <v>3935</v>
      </c>
      <c r="AO11">
        <f>5151-1</f>
        <v>5150</v>
      </c>
      <c r="AQ11" s="82">
        <v>1341.8670000000002</v>
      </c>
      <c r="AR11" s="82">
        <v>2629.2110000000002</v>
      </c>
      <c r="AS11" s="82">
        <v>3902.8420000000006</v>
      </c>
      <c r="AT11" s="241">
        <v>5082</v>
      </c>
      <c r="AU11" s="129"/>
      <c r="AV11" s="26">
        <v>739.01299999999992</v>
      </c>
      <c r="AW11" s="26">
        <v>1519.0610000000001</v>
      </c>
      <c r="AX11" s="26">
        <v>2135.7330000000002</v>
      </c>
      <c r="AY11">
        <v>3131</v>
      </c>
    </row>
    <row r="12" spans="1:51">
      <c r="A12" t="s">
        <v>381</v>
      </c>
      <c r="B12" s="166">
        <f>SUM(B7:B11)</f>
        <v>7034</v>
      </c>
      <c r="C12" s="166">
        <f>SUM(C7:C11)</f>
        <v>0</v>
      </c>
      <c r="D12" s="166">
        <f>SUM(D7:D11)</f>
        <v>0</v>
      </c>
      <c r="E12" s="166">
        <f>SUM(E7:E11)</f>
        <v>0</v>
      </c>
      <c r="G12" s="166">
        <f>SUM(G7:G11)</f>
        <v>6757</v>
      </c>
      <c r="H12" s="166">
        <f>SUM(H7:H11)</f>
        <v>13418</v>
      </c>
      <c r="I12" s="243">
        <f>SUM(I7:I11)</f>
        <v>20382.885000000002</v>
      </c>
      <c r="J12" s="166">
        <f>SUM(J7:J11)</f>
        <v>27523</v>
      </c>
      <c r="L12" s="166">
        <f>SUM(L7:L11)</f>
        <v>5210</v>
      </c>
      <c r="M12" s="166">
        <f>SUM(M7:M11)</f>
        <v>11290</v>
      </c>
      <c r="N12" s="166">
        <f>SUM(N7:N11)</f>
        <v>17805</v>
      </c>
      <c r="O12" s="166">
        <f>SUM(O7:O11)</f>
        <v>24583</v>
      </c>
      <c r="Q12" s="166">
        <f>SUM(Q7:Q11)</f>
        <v>7740</v>
      </c>
      <c r="R12" s="166">
        <f>SUM(R7:R11)</f>
        <v>14648</v>
      </c>
      <c r="S12" s="166">
        <f>SUM(S7:S11)</f>
        <v>19642</v>
      </c>
      <c r="T12" s="166">
        <f>SUM(T7:T11)</f>
        <v>23015</v>
      </c>
      <c r="V12" s="166">
        <f>SUM(V7:V11)</f>
        <v>7167</v>
      </c>
      <c r="W12" s="166">
        <f>SUM(W7:W11)</f>
        <v>15002</v>
      </c>
      <c r="X12" s="166">
        <f>SUM(X7:X11)</f>
        <v>22330</v>
      </c>
      <c r="Y12" s="166">
        <f>SUM(Y7:Y11)</f>
        <v>29534</v>
      </c>
      <c r="Z12" s="166">
        <f>SUM(Z7:Z11)</f>
        <v>37579</v>
      </c>
      <c r="AB12" s="166">
        <f>SUM(AB7:AB11)</f>
        <v>7184</v>
      </c>
      <c r="AC12" s="166">
        <f>SUM(AC7:AC11)</f>
        <v>14627</v>
      </c>
      <c r="AD12" s="166">
        <f>SUM(AD7:AD11)</f>
        <v>20947</v>
      </c>
      <c r="AE12" s="166">
        <f>SUM(AE7:AE11)</f>
        <v>27271</v>
      </c>
      <c r="AG12" s="166">
        <f>SUM(AG7:AG11)</f>
        <v>7047</v>
      </c>
      <c r="AH12" s="166">
        <f>SUM(AH7:AH11)</f>
        <v>14184</v>
      </c>
      <c r="AI12" s="166">
        <f>SUM(AI7:AI11)</f>
        <v>20890</v>
      </c>
      <c r="AJ12" s="166">
        <f>SUM(AJ7:AJ11)</f>
        <v>27244</v>
      </c>
      <c r="AL12" s="166">
        <f>SUM(AL7:AL11)</f>
        <v>6934.168999999999</v>
      </c>
      <c r="AM12" s="166">
        <f>SUM(AM7:AM11)</f>
        <v>13602</v>
      </c>
      <c r="AN12" s="166">
        <f>SUM(AN7:AN11)</f>
        <v>20016</v>
      </c>
      <c r="AO12" s="166">
        <f>SUM(AO7:AO11)</f>
        <v>26206</v>
      </c>
      <c r="AQ12" s="242">
        <f>SUM(AQ7:AQ11)</f>
        <v>5879.9490000000005</v>
      </c>
      <c r="AR12" s="242">
        <f>SUM(AR7:AR11)</f>
        <v>12295.838</v>
      </c>
      <c r="AS12" s="242">
        <f>SUM(AS7:AS11)</f>
        <v>17982.212</v>
      </c>
      <c r="AT12" s="242">
        <f>SUM(AT7:AT11)</f>
        <v>23726</v>
      </c>
      <c r="AU12" s="129"/>
      <c r="AV12" s="242">
        <f>SUM(AV7:AV11)</f>
        <v>4651.4250000000002</v>
      </c>
      <c r="AW12" s="242">
        <f>SUM(AW7:AW11)</f>
        <v>10715.414000000001</v>
      </c>
      <c r="AX12" s="243">
        <f>SUM(AX7:AX11)</f>
        <v>16235.94</v>
      </c>
      <c r="AY12" s="243">
        <f>SUM(AY7:AY11)</f>
        <v>21370</v>
      </c>
    </row>
    <row r="15" spans="1:51">
      <c r="A15" s="25" t="s">
        <v>420</v>
      </c>
    </row>
    <row r="16" spans="1:51">
      <c r="A16" t="s">
        <v>415</v>
      </c>
      <c r="AQ16" s="82">
        <v>729</v>
      </c>
      <c r="AR16" s="82">
        <v>1478</v>
      </c>
      <c r="AS16" s="82">
        <v>2387</v>
      </c>
      <c r="AT16" s="241">
        <v>3193</v>
      </c>
      <c r="AU16" s="241"/>
      <c r="AV16" s="82">
        <v>810</v>
      </c>
      <c r="AW16" s="82">
        <v>1921</v>
      </c>
      <c r="AX16">
        <v>2810</v>
      </c>
      <c r="AY16">
        <v>3653</v>
      </c>
    </row>
    <row r="17" spans="1:52">
      <c r="A17" t="s">
        <v>416</v>
      </c>
      <c r="AQ17" s="82">
        <v>0</v>
      </c>
      <c r="AR17" s="82">
        <v>1</v>
      </c>
      <c r="AS17" s="82">
        <v>3</v>
      </c>
      <c r="AT17" s="241">
        <v>22</v>
      </c>
      <c r="AU17" s="241"/>
      <c r="AV17" s="82">
        <v>9</v>
      </c>
      <c r="AW17" s="82">
        <v>11</v>
      </c>
      <c r="AX17">
        <v>21</v>
      </c>
      <c r="AY17">
        <v>24</v>
      </c>
    </row>
    <row r="18" spans="1:52">
      <c r="A18" t="s">
        <v>728</v>
      </c>
      <c r="AQ18" s="82">
        <v>0</v>
      </c>
      <c r="AR18" s="82">
        <v>0</v>
      </c>
      <c r="AS18" s="82">
        <v>0</v>
      </c>
      <c r="AT18" s="241">
        <v>0</v>
      </c>
      <c r="AU18" s="241"/>
      <c r="AV18" s="82">
        <v>0</v>
      </c>
      <c r="AW18" s="82">
        <v>0</v>
      </c>
      <c r="AX18">
        <v>0</v>
      </c>
      <c r="AY18">
        <v>0</v>
      </c>
    </row>
    <row r="19" spans="1:52">
      <c r="A19" t="s">
        <v>418</v>
      </c>
      <c r="AQ19" s="82">
        <v>440</v>
      </c>
      <c r="AR19" s="82">
        <v>805</v>
      </c>
      <c r="AS19" s="82">
        <v>1079</v>
      </c>
      <c r="AT19" s="241">
        <v>1305</v>
      </c>
      <c r="AU19" s="241"/>
      <c r="AV19" s="82">
        <v>545</v>
      </c>
      <c r="AW19" s="82">
        <v>1225</v>
      </c>
      <c r="AX19">
        <v>1746</v>
      </c>
      <c r="AY19">
        <v>2226</v>
      </c>
    </row>
    <row r="20" spans="1:52">
      <c r="A20" t="s">
        <v>419</v>
      </c>
      <c r="AQ20" s="82">
        <v>29</v>
      </c>
      <c r="AR20" s="82">
        <v>66</v>
      </c>
      <c r="AS20" s="82">
        <v>95</v>
      </c>
      <c r="AT20" s="241">
        <v>130</v>
      </c>
      <c r="AU20" s="241"/>
      <c r="AV20" s="82">
        <v>18</v>
      </c>
      <c r="AW20" s="82">
        <v>18</v>
      </c>
      <c r="AX20">
        <v>45</v>
      </c>
      <c r="AY20">
        <v>62</v>
      </c>
    </row>
    <row r="21" spans="1:52">
      <c r="A21" t="s">
        <v>381</v>
      </c>
      <c r="AQ21" s="242">
        <f>SUM(AQ16:AQ20)</f>
        <v>1198</v>
      </c>
      <c r="AR21" s="242">
        <f>SUM(AR16:AR20)</f>
        <v>2350</v>
      </c>
      <c r="AS21" s="242">
        <f>SUM(AS16:AS20)</f>
        <v>3564</v>
      </c>
      <c r="AT21" s="242">
        <f>SUM(AT16:AT20)</f>
        <v>4650</v>
      </c>
      <c r="AU21" s="129">
        <f>+AT21-AS21</f>
        <v>1086</v>
      </c>
      <c r="AV21" s="242">
        <f>SUM(AV16:AV20)</f>
        <v>1382</v>
      </c>
      <c r="AW21" s="242">
        <f>SUM(AW16:AW20)</f>
        <v>3175</v>
      </c>
      <c r="AX21" s="242">
        <f>SUM(AX16:AX20)</f>
        <v>4622</v>
      </c>
      <c r="AY21" s="242">
        <f>SUM(AY16:AY20)</f>
        <v>5965</v>
      </c>
      <c r="AZ21" s="82">
        <f>+AY21-AT21</f>
        <v>1315</v>
      </c>
    </row>
    <row r="24" spans="1:52">
      <c r="A24" s="25" t="s">
        <v>253</v>
      </c>
    </row>
    <row r="25" spans="1:52">
      <c r="A25" t="s">
        <v>421</v>
      </c>
      <c r="B25" s="244">
        <v>247</v>
      </c>
      <c r="C25" s="26"/>
      <c r="D25" s="26"/>
      <c r="E25" s="26"/>
      <c r="G25" s="244">
        <v>230</v>
      </c>
      <c r="H25" s="26">
        <v>428</v>
      </c>
      <c r="I25" s="26">
        <v>663.23599999999999</v>
      </c>
      <c r="J25" s="26">
        <v>944</v>
      </c>
      <c r="L25" s="244">
        <v>111</v>
      </c>
      <c r="M25" s="26">
        <v>237</v>
      </c>
      <c r="N25" s="26">
        <v>363</v>
      </c>
      <c r="O25" s="26">
        <v>577</v>
      </c>
      <c r="Q25" s="244">
        <v>213</v>
      </c>
      <c r="R25" s="26">
        <v>459</v>
      </c>
      <c r="S25" s="26">
        <v>566</v>
      </c>
      <c r="T25" s="26">
        <v>639</v>
      </c>
      <c r="V25" s="244">
        <v>206</v>
      </c>
      <c r="W25" s="26">
        <v>452</v>
      </c>
      <c r="X25" s="26">
        <f>730</f>
        <v>730</v>
      </c>
      <c r="Y25" s="26">
        <v>892</v>
      </c>
      <c r="Z25" s="26">
        <f>Y25+358</f>
        <v>1250</v>
      </c>
      <c r="AB25" s="244">
        <v>250</v>
      </c>
      <c r="AC25" s="26">
        <v>494</v>
      </c>
      <c r="AD25" s="26">
        <v>596</v>
      </c>
      <c r="AE25" s="26">
        <v>790</v>
      </c>
      <c r="AG25" s="244">
        <v>217</v>
      </c>
      <c r="AH25" s="26">
        <v>449</v>
      </c>
      <c r="AI25" s="26">
        <v>595</v>
      </c>
      <c r="AJ25" s="26">
        <f>813-1</f>
        <v>812</v>
      </c>
      <c r="AL25" s="244">
        <v>236.71100000000001</v>
      </c>
      <c r="AM25" s="26">
        <v>491.34300000000002</v>
      </c>
      <c r="AN25" s="26">
        <v>757.601</v>
      </c>
      <c r="AO25" s="26">
        <v>953.33900000000006</v>
      </c>
      <c r="AQ25" s="82">
        <v>210.59200000000001</v>
      </c>
      <c r="AR25">
        <v>419</v>
      </c>
      <c r="AS25" s="26">
        <v>559.80399999999997</v>
      </c>
      <c r="AT25" s="116">
        <v>735</v>
      </c>
      <c r="AV25" s="26">
        <v>114.776</v>
      </c>
      <c r="AW25">
        <v>315</v>
      </c>
      <c r="AX25" s="244">
        <v>488</v>
      </c>
      <c r="AY25">
        <v>635</v>
      </c>
    </row>
    <row r="26" spans="1:52">
      <c r="A26" t="s">
        <v>416</v>
      </c>
      <c r="B26" s="26"/>
      <c r="D26" s="26"/>
      <c r="G26" s="26"/>
      <c r="I26" s="26"/>
      <c r="L26" s="26"/>
      <c r="N26" s="26"/>
      <c r="Q26" s="26"/>
      <c r="S26" s="26"/>
      <c r="V26" s="26"/>
      <c r="X26" s="26"/>
      <c r="AB26" s="26"/>
      <c r="AD26" s="26"/>
      <c r="AG26" s="26"/>
      <c r="AI26" s="26"/>
      <c r="AL26" s="26"/>
      <c r="AN26" s="26"/>
      <c r="AQ26" s="82"/>
      <c r="AS26" s="26"/>
      <c r="AV26" s="26"/>
      <c r="AX26" s="244"/>
    </row>
    <row r="27" spans="1:52">
      <c r="A27" t="s">
        <v>422</v>
      </c>
      <c r="B27" s="26"/>
      <c r="D27" s="26"/>
      <c r="G27" s="26"/>
      <c r="I27" s="26"/>
      <c r="L27" s="26"/>
      <c r="N27" s="26"/>
      <c r="Q27" s="26"/>
      <c r="S27" s="26"/>
      <c r="V27" s="26"/>
      <c r="X27" s="26"/>
      <c r="AB27" s="26"/>
      <c r="AD27" s="26"/>
      <c r="AG27" s="26"/>
      <c r="AI27" s="26"/>
      <c r="AL27" s="26"/>
      <c r="AN27" s="26"/>
      <c r="AQ27" s="82">
        <v>17.715</v>
      </c>
      <c r="AR27">
        <v>50</v>
      </c>
      <c r="AS27" s="26">
        <v>57.402000000000001</v>
      </c>
      <c r="AT27" s="116">
        <v>67</v>
      </c>
      <c r="AV27" s="26">
        <v>32.186</v>
      </c>
      <c r="AW27">
        <v>40</v>
      </c>
      <c r="AX27" s="244">
        <v>48</v>
      </c>
      <c r="AY27">
        <v>48</v>
      </c>
    </row>
    <row r="28" spans="1:52">
      <c r="A28" t="s">
        <v>728</v>
      </c>
      <c r="B28" s="244">
        <v>754</v>
      </c>
      <c r="C28" s="26"/>
      <c r="D28" s="26"/>
      <c r="E28" s="26"/>
      <c r="G28" s="244">
        <v>646</v>
      </c>
      <c r="H28" s="26">
        <v>1058</v>
      </c>
      <c r="I28" s="26">
        <v>1595.3689999999999</v>
      </c>
      <c r="J28" s="26">
        <v>2423</v>
      </c>
      <c r="L28" s="244">
        <v>632</v>
      </c>
      <c r="M28" s="26">
        <v>993</v>
      </c>
      <c r="N28" s="26">
        <v>1361</v>
      </c>
      <c r="O28" s="26">
        <v>1852</v>
      </c>
      <c r="Q28" s="244">
        <v>1025</v>
      </c>
      <c r="R28" s="26">
        <v>1642</v>
      </c>
      <c r="S28" s="26">
        <v>2119</v>
      </c>
      <c r="T28" s="26">
        <v>2681</v>
      </c>
      <c r="V28" s="244">
        <v>972</v>
      </c>
      <c r="W28" s="26">
        <v>1839</v>
      </c>
      <c r="X28" s="26">
        <f>2537</f>
        <v>2537</v>
      </c>
      <c r="Y28" s="26">
        <v>3255</v>
      </c>
      <c r="Z28" s="26">
        <f>Y28+975</f>
        <v>4230</v>
      </c>
      <c r="AB28" s="244">
        <v>1164</v>
      </c>
      <c r="AC28" s="26">
        <v>2048</v>
      </c>
      <c r="AD28" s="26">
        <v>2545</v>
      </c>
      <c r="AE28" s="26">
        <v>3317</v>
      </c>
      <c r="AG28" s="244">
        <v>1189</v>
      </c>
      <c r="AH28" s="26">
        <v>2417</v>
      </c>
      <c r="AI28" s="26">
        <v>3025</v>
      </c>
      <c r="AJ28" s="26">
        <v>3785</v>
      </c>
      <c r="AL28" s="244">
        <v>871.44299999999998</v>
      </c>
      <c r="AM28" s="26">
        <v>1803.404</v>
      </c>
      <c r="AN28" s="26">
        <v>2499.3220000000001</v>
      </c>
      <c r="AO28" s="26">
        <v>3250.6640000000002</v>
      </c>
      <c r="AQ28" s="82">
        <v>494.274</v>
      </c>
      <c r="AR28">
        <v>1124</v>
      </c>
      <c r="AS28" s="26">
        <v>1394.2739999999999</v>
      </c>
      <c r="AT28" s="116">
        <v>1954</v>
      </c>
      <c r="AV28" s="26">
        <v>678.17499999999995</v>
      </c>
      <c r="AW28">
        <v>1452</v>
      </c>
      <c r="AX28" s="244">
        <v>1926</v>
      </c>
      <c r="AY28">
        <v>2338</v>
      </c>
    </row>
    <row r="29" spans="1:52">
      <c r="A29" t="s">
        <v>418</v>
      </c>
      <c r="B29" s="244"/>
      <c r="C29" s="26"/>
      <c r="D29" s="26"/>
      <c r="E29" s="26"/>
      <c r="G29" s="244"/>
      <c r="H29" s="26"/>
      <c r="I29" s="26"/>
      <c r="J29" s="26"/>
      <c r="L29" s="244"/>
      <c r="M29" s="26"/>
      <c r="N29" s="26"/>
      <c r="O29" s="26"/>
      <c r="Q29" s="244"/>
      <c r="R29" s="26"/>
      <c r="S29" s="26"/>
      <c r="T29" s="26"/>
      <c r="V29" s="244"/>
      <c r="W29" s="26"/>
      <c r="X29" s="26"/>
      <c r="Y29" s="26"/>
      <c r="Z29" s="26"/>
      <c r="AB29" s="244"/>
      <c r="AC29" s="26"/>
      <c r="AD29" s="26"/>
      <c r="AE29" s="26"/>
      <c r="AG29" s="244"/>
      <c r="AH29" s="26"/>
      <c r="AI29" s="26"/>
      <c r="AJ29" s="26"/>
      <c r="AL29" s="244">
        <v>7.48</v>
      </c>
      <c r="AM29" s="26">
        <v>24.901</v>
      </c>
      <c r="AN29" s="26">
        <v>32.704000000000001</v>
      </c>
      <c r="AO29" s="26">
        <v>44.357999999999997</v>
      </c>
      <c r="AQ29" s="245">
        <v>6.1779999999999999</v>
      </c>
      <c r="AR29">
        <v>6</v>
      </c>
      <c r="AS29" s="26">
        <v>6.1779999999999999</v>
      </c>
      <c r="AT29" s="116">
        <v>0</v>
      </c>
      <c r="AV29" s="26"/>
      <c r="AX29" s="244"/>
    </row>
    <row r="30" spans="1:52">
      <c r="A30" t="s">
        <v>419</v>
      </c>
      <c r="B30" s="26">
        <v>1517</v>
      </c>
      <c r="C30" s="26"/>
      <c r="D30" s="26"/>
      <c r="E30" s="26"/>
      <c r="G30" s="26">
        <v>1160</v>
      </c>
      <c r="H30" s="26">
        <v>2508</v>
      </c>
      <c r="I30" s="26">
        <v>3617.7579999999998</v>
      </c>
      <c r="J30" s="26">
        <v>4943</v>
      </c>
      <c r="L30" s="26">
        <v>902</v>
      </c>
      <c r="M30" s="26">
        <v>1815</v>
      </c>
      <c r="N30" s="26">
        <v>2902</v>
      </c>
      <c r="O30" s="26">
        <v>4158</v>
      </c>
      <c r="Q30" s="26">
        <v>1321</v>
      </c>
      <c r="R30" s="26">
        <f>4441-R25-R28</f>
        <v>2340</v>
      </c>
      <c r="S30" s="26">
        <f>6247-S25-S28</f>
        <v>3562</v>
      </c>
      <c r="T30" s="26">
        <v>4305</v>
      </c>
      <c r="V30" s="26">
        <v>1036</v>
      </c>
      <c r="W30" s="26">
        <v>2270</v>
      </c>
      <c r="X30" s="26">
        <f>3140</f>
        <v>3140</v>
      </c>
      <c r="Y30" s="26">
        <v>4106</v>
      </c>
      <c r="Z30" s="26">
        <f>Y30+1365</f>
        <v>5471</v>
      </c>
      <c r="AB30" s="26">
        <v>1233</v>
      </c>
      <c r="AC30" s="26">
        <v>2674</v>
      </c>
      <c r="AD30" s="26">
        <v>3503</v>
      </c>
      <c r="AE30" s="26">
        <v>4258</v>
      </c>
      <c r="AG30" s="26">
        <v>1039</v>
      </c>
      <c r="AH30" s="26">
        <v>2200</v>
      </c>
      <c r="AI30" s="26">
        <v>3066</v>
      </c>
      <c r="AJ30" s="26">
        <v>3898</v>
      </c>
      <c r="AL30" s="26">
        <v>968.65299999999991</v>
      </c>
      <c r="AM30" s="26">
        <v>1948.271</v>
      </c>
      <c r="AN30" s="26">
        <v>2587.71</v>
      </c>
      <c r="AO30" s="26">
        <v>3353.3560000000007</v>
      </c>
      <c r="AQ30" s="82">
        <f>950.994-6.178</f>
        <v>944.81600000000003</v>
      </c>
      <c r="AR30">
        <v>1845</v>
      </c>
      <c r="AS30" s="26">
        <v>2338.0660000000003</v>
      </c>
      <c r="AT30" s="116">
        <f>5667-735-67-1954</f>
        <v>2911</v>
      </c>
      <c r="AV30" s="26">
        <v>480.76600000000002</v>
      </c>
      <c r="AW30">
        <v>1362</v>
      </c>
      <c r="AX30" s="244">
        <v>1645</v>
      </c>
      <c r="AY30">
        <v>2073</v>
      </c>
    </row>
    <row r="31" spans="1:52">
      <c r="B31" s="243">
        <f>SUM(B25:B30)</f>
        <v>2518</v>
      </c>
      <c r="C31" s="243">
        <f>SUM(C25:C30)</f>
        <v>0</v>
      </c>
      <c r="D31" s="243">
        <f>SUM(D25:D30)</f>
        <v>0</v>
      </c>
      <c r="E31" s="243">
        <f>SUM(E25:E30)</f>
        <v>0</v>
      </c>
      <c r="G31" s="243">
        <f>SUM(G25:G30)</f>
        <v>2036</v>
      </c>
      <c r="H31" s="243">
        <f>SUM(H25:H30)</f>
        <v>3994</v>
      </c>
      <c r="I31" s="243">
        <f>SUM(I25:I30)</f>
        <v>5876.3629999999994</v>
      </c>
      <c r="J31" s="243">
        <f>SUM(J25:J30)</f>
        <v>8310</v>
      </c>
      <c r="L31" s="243">
        <f>SUM(L25:L30)</f>
        <v>1645</v>
      </c>
      <c r="M31" s="243">
        <f>SUM(M25:M30)</f>
        <v>3045</v>
      </c>
      <c r="N31" s="243">
        <f>SUM(N25:N30)</f>
        <v>4626</v>
      </c>
      <c r="O31" s="243">
        <f>SUM(O25:O30)</f>
        <v>6587</v>
      </c>
      <c r="Q31" s="243">
        <f>SUM(Q25:Q30)</f>
        <v>2559</v>
      </c>
      <c r="R31" s="243">
        <f>SUM(R25:R30)</f>
        <v>4441</v>
      </c>
      <c r="S31" s="243">
        <f>SUM(S25:S30)</f>
        <v>6247</v>
      </c>
      <c r="T31" s="243">
        <f>SUM(T25:T30)</f>
        <v>7625</v>
      </c>
      <c r="V31" s="243">
        <f>SUM(V25:V30)</f>
        <v>2214</v>
      </c>
      <c r="W31" s="243">
        <f>SUM(W25:W30)</f>
        <v>4561</v>
      </c>
      <c r="X31" s="243">
        <f>SUM(X25:X30)</f>
        <v>6407</v>
      </c>
      <c r="Y31" s="243">
        <f>SUM(Y25:Y30)</f>
        <v>8253</v>
      </c>
      <c r="Z31" s="243">
        <f>SUM(Z25:Z30)</f>
        <v>10951</v>
      </c>
      <c r="AB31" s="243">
        <f>SUM(AB25:AB30)</f>
        <v>2647</v>
      </c>
      <c r="AC31" s="243">
        <f>SUM(AC25:AC30)</f>
        <v>5216</v>
      </c>
      <c r="AD31" s="243">
        <f>SUM(AD25:AD30)</f>
        <v>6644</v>
      </c>
      <c r="AE31" s="243">
        <f>SUM(AE25:AE30)</f>
        <v>8365</v>
      </c>
      <c r="AG31" s="243">
        <f>SUM(AG25:AG30)</f>
        <v>2445</v>
      </c>
      <c r="AH31" s="243">
        <f>SUM(AH25:AH30)</f>
        <v>5066</v>
      </c>
      <c r="AI31" s="243">
        <f>SUM(AI25:AI30)</f>
        <v>6686</v>
      </c>
      <c r="AJ31" s="243">
        <f>SUM(AJ25:AJ30)</f>
        <v>8495</v>
      </c>
      <c r="AL31" s="243">
        <f>SUM(AL25:AL30)</f>
        <v>2084.2869999999998</v>
      </c>
      <c r="AM31" s="243">
        <f>SUM(AM25:AM30)</f>
        <v>4267.9189999999999</v>
      </c>
      <c r="AN31" s="243">
        <f>SUM(AN25:AN30)</f>
        <v>5877.3370000000004</v>
      </c>
      <c r="AO31" s="243">
        <f>SUM(AO25:AO30)</f>
        <v>7601.7170000000015</v>
      </c>
      <c r="AQ31" s="242">
        <f>SUM(AQ25:AQ30)</f>
        <v>1673.575</v>
      </c>
      <c r="AR31" s="242">
        <f>SUM(AR25:AR30)</f>
        <v>3444</v>
      </c>
      <c r="AS31" s="242">
        <f>SUM(AS25:AS30)</f>
        <v>4355.7240000000002</v>
      </c>
      <c r="AT31" s="242">
        <f>SUM(AT25:AT30)</f>
        <v>5667</v>
      </c>
      <c r="AU31" s="129"/>
      <c r="AV31" s="242">
        <f>SUM(AV25:AV30)</f>
        <v>1305.903</v>
      </c>
      <c r="AW31" s="242">
        <f>SUM(AW25:AW30)</f>
        <v>3169</v>
      </c>
      <c r="AX31" s="242">
        <f>SUM(AX25:AX30)</f>
        <v>4107</v>
      </c>
      <c r="AY31" s="242">
        <f>SUM(AY25:AY30)</f>
        <v>5094</v>
      </c>
    </row>
    <row r="33" spans="1:51">
      <c r="A33" t="s">
        <v>381</v>
      </c>
    </row>
    <row r="34" spans="1:51">
      <c r="A34" t="s">
        <v>415</v>
      </c>
      <c r="B34" s="82">
        <f t="shared" ref="B34:D35" si="0">+B7+B16+B25</f>
        <v>1616</v>
      </c>
      <c r="C34" s="82">
        <f t="shared" si="0"/>
        <v>0</v>
      </c>
      <c r="D34" s="82">
        <f t="shared" si="0"/>
        <v>0</v>
      </c>
      <c r="E34" s="82">
        <f>+E7+E16+E25</f>
        <v>0</v>
      </c>
      <c r="G34" s="82">
        <f t="shared" ref="G34:J35" si="1">+G7+G16+G25</f>
        <v>1815</v>
      </c>
      <c r="H34" s="82">
        <f t="shared" si="1"/>
        <v>3597</v>
      </c>
      <c r="I34" s="82">
        <f t="shared" si="1"/>
        <v>5337.652</v>
      </c>
      <c r="J34" s="82">
        <f t="shared" si="1"/>
        <v>7079</v>
      </c>
      <c r="L34" s="82">
        <f t="shared" ref="L34:O35" si="2">+L7+L16+L25</f>
        <v>1145</v>
      </c>
      <c r="M34" s="82">
        <f t="shared" si="2"/>
        <v>2826</v>
      </c>
      <c r="N34" s="82">
        <f t="shared" si="2"/>
        <v>4261</v>
      </c>
      <c r="O34" s="82">
        <f t="shared" si="2"/>
        <v>6115</v>
      </c>
      <c r="Q34" s="82">
        <f t="shared" ref="Q34:T35" si="3">+Q7+Q16+Q25</f>
        <v>2271</v>
      </c>
      <c r="R34" s="82">
        <f t="shared" si="3"/>
        <v>4394</v>
      </c>
      <c r="S34" s="82">
        <f t="shared" si="3"/>
        <v>5518</v>
      </c>
      <c r="T34" s="82">
        <f t="shared" si="3"/>
        <v>6269</v>
      </c>
      <c r="V34" s="82">
        <f t="shared" ref="V34:Z35" si="4">+V7+V16+V25</f>
        <v>1598</v>
      </c>
      <c r="W34" s="82">
        <f t="shared" si="4"/>
        <v>3770</v>
      </c>
      <c r="X34" s="82">
        <f t="shared" si="4"/>
        <v>5547</v>
      </c>
      <c r="Y34" s="82">
        <f t="shared" si="4"/>
        <v>7250</v>
      </c>
      <c r="Z34" s="82">
        <f t="shared" si="4"/>
        <v>9420</v>
      </c>
      <c r="AB34" s="82">
        <f t="shared" ref="AB34:AE35" si="5">+AB7+AB16+AB25</f>
        <v>1708</v>
      </c>
      <c r="AC34" s="82">
        <f t="shared" si="5"/>
        <v>3517</v>
      </c>
      <c r="AD34" s="82">
        <f t="shared" si="5"/>
        <v>5218</v>
      </c>
      <c r="AE34" s="82">
        <f t="shared" si="5"/>
        <v>6771</v>
      </c>
      <c r="AG34" s="82">
        <f t="shared" ref="AG34:AJ35" si="6">+AG7+AG16+AG25</f>
        <v>1684</v>
      </c>
      <c r="AH34" s="82">
        <f t="shared" si="6"/>
        <v>3667</v>
      </c>
      <c r="AI34" s="82">
        <f t="shared" si="6"/>
        <v>5730</v>
      </c>
      <c r="AJ34" s="82">
        <f t="shared" si="6"/>
        <v>7467</v>
      </c>
      <c r="AL34" s="82">
        <f t="shared" ref="AL34:AO35" si="7">+AL7+AL16+AL25</f>
        <v>1708.2099999999998</v>
      </c>
      <c r="AM34" s="82">
        <f t="shared" si="7"/>
        <v>3184.3429999999998</v>
      </c>
      <c r="AN34" s="82">
        <f t="shared" si="7"/>
        <v>4864.6009999999997</v>
      </c>
      <c r="AO34" s="82">
        <f t="shared" si="7"/>
        <v>6393.3389999999999</v>
      </c>
      <c r="AQ34" s="82">
        <f t="shared" ref="AQ34:AT35" si="8">+AQ7+AQ16+AQ25</f>
        <v>2550.578</v>
      </c>
      <c r="AR34" s="82">
        <f t="shared" si="8"/>
        <v>5300.326</v>
      </c>
      <c r="AS34" s="82">
        <f t="shared" si="8"/>
        <v>8177.3459999999995</v>
      </c>
      <c r="AT34" s="82">
        <f t="shared" si="8"/>
        <v>10650</v>
      </c>
      <c r="AU34" s="129"/>
      <c r="AV34" s="82">
        <f t="shared" ref="AV34:AY35" si="9">+AV7+AV16+AV25</f>
        <v>2268.5609999999997</v>
      </c>
      <c r="AW34" s="82">
        <f t="shared" si="9"/>
        <v>5385.93</v>
      </c>
      <c r="AX34" s="82">
        <f t="shared" si="9"/>
        <v>8777.6419999999998</v>
      </c>
      <c r="AY34" s="82">
        <f t="shared" si="9"/>
        <v>11502</v>
      </c>
    </row>
    <row r="35" spans="1:51">
      <c r="A35" t="s">
        <v>416</v>
      </c>
      <c r="B35" s="82">
        <f t="shared" si="0"/>
        <v>613</v>
      </c>
      <c r="C35" s="82">
        <f t="shared" si="0"/>
        <v>0</v>
      </c>
      <c r="D35" s="82">
        <f t="shared" si="0"/>
        <v>0</v>
      </c>
      <c r="E35" s="82">
        <f>+E8+E17+E26</f>
        <v>0</v>
      </c>
      <c r="G35" s="82">
        <f t="shared" si="1"/>
        <v>776</v>
      </c>
      <c r="H35" s="82">
        <f t="shared" si="1"/>
        <v>1618</v>
      </c>
      <c r="I35" s="82">
        <f t="shared" si="1"/>
        <v>2505.0250000000001</v>
      </c>
      <c r="J35" s="82">
        <f t="shared" si="1"/>
        <v>3280</v>
      </c>
      <c r="L35" s="82">
        <f t="shared" si="2"/>
        <v>521</v>
      </c>
      <c r="M35" s="82">
        <f t="shared" si="2"/>
        <v>1315</v>
      </c>
      <c r="N35" s="82">
        <f t="shared" si="2"/>
        <v>2227</v>
      </c>
      <c r="O35" s="82">
        <f t="shared" si="2"/>
        <v>2926</v>
      </c>
      <c r="Q35" s="82">
        <f t="shared" si="3"/>
        <v>1403</v>
      </c>
      <c r="R35" s="82">
        <f t="shared" si="3"/>
        <v>2632</v>
      </c>
      <c r="S35" s="82">
        <f t="shared" si="3"/>
        <v>3503</v>
      </c>
      <c r="T35" s="82">
        <f t="shared" si="3"/>
        <v>3994</v>
      </c>
      <c r="V35" s="82">
        <f t="shared" si="4"/>
        <v>1379</v>
      </c>
      <c r="W35" s="82">
        <f t="shared" si="4"/>
        <v>3075</v>
      </c>
      <c r="X35" s="82">
        <f t="shared" si="4"/>
        <v>4978</v>
      </c>
      <c r="Y35" s="82">
        <f t="shared" si="4"/>
        <v>6386</v>
      </c>
      <c r="Z35" s="82">
        <f t="shared" si="4"/>
        <v>7502</v>
      </c>
      <c r="AB35" s="82">
        <f t="shared" si="5"/>
        <v>1053</v>
      </c>
      <c r="AC35" s="82">
        <f t="shared" si="5"/>
        <v>2653</v>
      </c>
      <c r="AD35" s="82">
        <f t="shared" si="5"/>
        <v>4115</v>
      </c>
      <c r="AE35" s="82">
        <f t="shared" si="5"/>
        <v>5510</v>
      </c>
      <c r="AG35" s="82">
        <f t="shared" si="6"/>
        <v>818</v>
      </c>
      <c r="AH35" s="82">
        <f t="shared" si="6"/>
        <v>1899</v>
      </c>
      <c r="AI35" s="82">
        <f t="shared" si="6"/>
        <v>3255</v>
      </c>
      <c r="AJ35" s="82">
        <f t="shared" si="6"/>
        <v>4454</v>
      </c>
      <c r="AL35" s="82">
        <f t="shared" si="7"/>
        <v>661.88099999999997</v>
      </c>
      <c r="AM35" s="82">
        <f t="shared" si="7"/>
        <v>1656</v>
      </c>
      <c r="AN35" s="82">
        <f t="shared" si="7"/>
        <v>2890</v>
      </c>
      <c r="AO35" s="82">
        <f t="shared" si="7"/>
        <v>3724</v>
      </c>
      <c r="AQ35" s="82">
        <f t="shared" si="8"/>
        <v>490.02100000000002</v>
      </c>
      <c r="AR35" s="82">
        <f t="shared" si="8"/>
        <v>1113.413</v>
      </c>
      <c r="AS35" s="82">
        <f t="shared" si="8"/>
        <v>1849.135</v>
      </c>
      <c r="AT35" s="82">
        <f t="shared" si="8"/>
        <v>2470</v>
      </c>
      <c r="AU35" s="129"/>
      <c r="AV35" s="82">
        <f t="shared" si="9"/>
        <v>527.42700000000002</v>
      </c>
      <c r="AW35" s="82">
        <f t="shared" si="9"/>
        <v>1346.848</v>
      </c>
      <c r="AX35" s="82">
        <f t="shared" si="9"/>
        <v>2148.1</v>
      </c>
      <c r="AY35" s="82">
        <f t="shared" si="9"/>
        <v>2664</v>
      </c>
    </row>
    <row r="36" spans="1:51">
      <c r="A36" t="s">
        <v>422</v>
      </c>
      <c r="B36" s="82">
        <f>+B27</f>
        <v>0</v>
      </c>
      <c r="C36" s="82">
        <f>+C27</f>
        <v>0</v>
      </c>
      <c r="D36" s="82">
        <f>+D27</f>
        <v>0</v>
      </c>
      <c r="E36" s="82">
        <f>+E27</f>
        <v>0</v>
      </c>
      <c r="G36" s="82">
        <f>+G27</f>
        <v>0</v>
      </c>
      <c r="H36" s="82">
        <f>+H27</f>
        <v>0</v>
      </c>
      <c r="I36" s="82">
        <f>+I27</f>
        <v>0</v>
      </c>
      <c r="J36" s="82">
        <f>+J27</f>
        <v>0</v>
      </c>
      <c r="L36" s="82">
        <f>+L27</f>
        <v>0</v>
      </c>
      <c r="M36" s="82">
        <f>+M27</f>
        <v>0</v>
      </c>
      <c r="N36" s="82">
        <f>+N27</f>
        <v>0</v>
      </c>
      <c r="O36" s="82">
        <f>+O27</f>
        <v>0</v>
      </c>
      <c r="Q36" s="82">
        <f>+Q27</f>
        <v>0</v>
      </c>
      <c r="R36" s="82">
        <f>+R27</f>
        <v>0</v>
      </c>
      <c r="S36" s="82">
        <f>+S27</f>
        <v>0</v>
      </c>
      <c r="T36" s="82">
        <f>+T27</f>
        <v>0</v>
      </c>
      <c r="V36" s="82">
        <f>+V27</f>
        <v>0</v>
      </c>
      <c r="W36" s="82">
        <f>+W27</f>
        <v>0</v>
      </c>
      <c r="X36" s="82">
        <f>+X27</f>
        <v>0</v>
      </c>
      <c r="Y36" s="82">
        <f>+Y27</f>
        <v>0</v>
      </c>
      <c r="Z36" s="82">
        <f>+Z27</f>
        <v>0</v>
      </c>
      <c r="AB36" s="82">
        <f>+AB27</f>
        <v>0</v>
      </c>
      <c r="AC36" s="82">
        <f>+AC27</f>
        <v>0</v>
      </c>
      <c r="AD36" s="82">
        <f>+AD27</f>
        <v>0</v>
      </c>
      <c r="AE36" s="82">
        <f>+AE27</f>
        <v>0</v>
      </c>
      <c r="AG36" s="82">
        <f>+AG27</f>
        <v>0</v>
      </c>
      <c r="AH36" s="82">
        <f>+AH27</f>
        <v>0</v>
      </c>
      <c r="AI36" s="82">
        <f>+AI27</f>
        <v>0</v>
      </c>
      <c r="AJ36" s="82">
        <f>+AJ27</f>
        <v>0</v>
      </c>
      <c r="AL36" s="82">
        <f>+AL27</f>
        <v>0</v>
      </c>
      <c r="AM36" s="82">
        <f>+AM27</f>
        <v>0</v>
      </c>
      <c r="AN36" s="82">
        <f>+AN27</f>
        <v>0</v>
      </c>
      <c r="AO36" s="82">
        <f>+AO27</f>
        <v>0</v>
      </c>
      <c r="AQ36" s="82">
        <f>+AQ27</f>
        <v>17.715</v>
      </c>
      <c r="AR36" s="82">
        <f>+AR27</f>
        <v>50</v>
      </c>
      <c r="AS36" s="82">
        <f>+AS27</f>
        <v>57.402000000000001</v>
      </c>
      <c r="AT36" s="82">
        <f>+AT27</f>
        <v>67</v>
      </c>
      <c r="AU36" s="129"/>
      <c r="AV36" s="82">
        <f>+AV27</f>
        <v>32.186</v>
      </c>
      <c r="AW36" s="82">
        <f>+AW27</f>
        <v>40</v>
      </c>
      <c r="AX36" s="82">
        <f>+AX27</f>
        <v>48</v>
      </c>
      <c r="AY36" s="82">
        <f>+AY27</f>
        <v>48</v>
      </c>
    </row>
    <row r="37" spans="1:51">
      <c r="A37" t="s">
        <v>728</v>
      </c>
      <c r="B37" s="82">
        <f t="shared" ref="B37:E39" si="10">+B9+B18+B28</f>
        <v>4193</v>
      </c>
      <c r="C37" s="82">
        <f t="shared" si="10"/>
        <v>0</v>
      </c>
      <c r="D37" s="82">
        <f t="shared" si="10"/>
        <v>0</v>
      </c>
      <c r="E37" s="82">
        <f t="shared" si="10"/>
        <v>0</v>
      </c>
      <c r="G37" s="82">
        <f t="shared" ref="G37:J39" si="11">+G9+G18+G28</f>
        <v>3351</v>
      </c>
      <c r="H37" s="82">
        <f t="shared" si="11"/>
        <v>6305</v>
      </c>
      <c r="I37" s="82">
        <f t="shared" si="11"/>
        <v>9779.8420000000006</v>
      </c>
      <c r="J37" s="82">
        <f t="shared" si="11"/>
        <v>13604</v>
      </c>
      <c r="L37" s="82">
        <f t="shared" ref="L37:O39" si="12">+L9+L18+L28</f>
        <v>2812</v>
      </c>
      <c r="M37" s="82">
        <f t="shared" si="12"/>
        <v>5054</v>
      </c>
      <c r="N37" s="82">
        <f t="shared" si="12"/>
        <v>7825</v>
      </c>
      <c r="O37" s="82">
        <f t="shared" si="12"/>
        <v>10884</v>
      </c>
      <c r="Q37" s="82">
        <f t="shared" ref="Q37:T39" si="13">+Q9+Q18+Q28</f>
        <v>4090</v>
      </c>
      <c r="R37" s="82">
        <f t="shared" si="13"/>
        <v>7542</v>
      </c>
      <c r="S37" s="82">
        <f t="shared" si="13"/>
        <v>10468</v>
      </c>
      <c r="T37" s="82">
        <f t="shared" si="13"/>
        <v>12571</v>
      </c>
      <c r="V37" s="82">
        <f t="shared" ref="V37:Z39" si="14">+V9+V18+V28</f>
        <v>3783</v>
      </c>
      <c r="W37" s="82">
        <f t="shared" si="14"/>
        <v>7410</v>
      </c>
      <c r="X37" s="82">
        <f t="shared" si="14"/>
        <v>10784</v>
      </c>
      <c r="Y37" s="82">
        <f t="shared" si="14"/>
        <v>14483</v>
      </c>
      <c r="Z37" s="82">
        <f t="shared" si="14"/>
        <v>18706</v>
      </c>
      <c r="AB37" s="82">
        <f t="shared" ref="AB37:AE39" si="15">+AB9+AB18+AB28</f>
        <v>4671</v>
      </c>
      <c r="AC37" s="82">
        <f t="shared" si="15"/>
        <v>8669</v>
      </c>
      <c r="AD37" s="82">
        <f t="shared" si="15"/>
        <v>11308</v>
      </c>
      <c r="AE37" s="82">
        <f t="shared" si="15"/>
        <v>14543</v>
      </c>
      <c r="AG37" s="82">
        <f t="shared" ref="AG37:AJ39" si="16">+AG9+AG18+AG28</f>
        <v>4234</v>
      </c>
      <c r="AH37" s="82">
        <f t="shared" si="16"/>
        <v>8709</v>
      </c>
      <c r="AI37" s="82">
        <f t="shared" si="16"/>
        <v>11679</v>
      </c>
      <c r="AJ37" s="82">
        <f t="shared" si="16"/>
        <v>15065</v>
      </c>
      <c r="AL37" s="82">
        <f t="shared" ref="AL37:AO39" si="17">+AL9+AL18+AL28</f>
        <v>3687.683</v>
      </c>
      <c r="AM37" s="82">
        <f t="shared" si="17"/>
        <v>7512.4040000000005</v>
      </c>
      <c r="AN37" s="82">
        <f t="shared" si="17"/>
        <v>10563.322</v>
      </c>
      <c r="AO37" s="82">
        <f t="shared" si="17"/>
        <v>13890.664000000001</v>
      </c>
      <c r="AQ37" s="82">
        <f t="shared" ref="AQ37:AT39" si="18">+AQ9+AQ18+AQ28</f>
        <v>2538.4589999999998</v>
      </c>
      <c r="AR37" s="82">
        <f t="shared" si="18"/>
        <v>5287.6279999999997</v>
      </c>
      <c r="AS37" s="82">
        <f t="shared" si="18"/>
        <v>6950.0290000000005</v>
      </c>
      <c r="AT37" s="82">
        <f t="shared" si="18"/>
        <v>9403</v>
      </c>
      <c r="AU37" s="129"/>
      <c r="AV37" s="82">
        <f t="shared" ref="AV37:AY39" si="19">+AV9+AV18+AV28</f>
        <v>2481.7269999999999</v>
      </c>
      <c r="AW37" s="82">
        <f t="shared" si="19"/>
        <v>5520.6630000000005</v>
      </c>
      <c r="AX37" s="82">
        <f t="shared" si="19"/>
        <v>7415.7929999999997</v>
      </c>
      <c r="AY37" s="82">
        <f t="shared" si="19"/>
        <v>9331</v>
      </c>
    </row>
    <row r="38" spans="1:51">
      <c r="A38" t="s">
        <v>418</v>
      </c>
      <c r="B38" s="82">
        <f t="shared" si="10"/>
        <v>61</v>
      </c>
      <c r="C38" s="82">
        <f t="shared" si="10"/>
        <v>0</v>
      </c>
      <c r="D38" s="82">
        <f t="shared" si="10"/>
        <v>0</v>
      </c>
      <c r="E38" s="82">
        <f t="shared" si="10"/>
        <v>0</v>
      </c>
      <c r="G38" s="82">
        <f t="shared" si="11"/>
        <v>140</v>
      </c>
      <c r="H38" s="82">
        <f t="shared" si="11"/>
        <v>246</v>
      </c>
      <c r="I38" s="82">
        <f t="shared" si="11"/>
        <v>298.83099999999996</v>
      </c>
      <c r="J38" s="82">
        <f t="shared" si="11"/>
        <v>331</v>
      </c>
      <c r="L38" s="82">
        <f t="shared" si="12"/>
        <v>163</v>
      </c>
      <c r="M38" s="82">
        <f t="shared" si="12"/>
        <v>357</v>
      </c>
      <c r="N38" s="82">
        <f t="shared" si="12"/>
        <v>474</v>
      </c>
      <c r="O38" s="82">
        <f t="shared" si="12"/>
        <v>605</v>
      </c>
      <c r="Q38" s="82">
        <f t="shared" si="13"/>
        <v>82</v>
      </c>
      <c r="R38" s="82">
        <f t="shared" si="13"/>
        <v>122</v>
      </c>
      <c r="S38" s="82">
        <f t="shared" si="13"/>
        <v>220</v>
      </c>
      <c r="T38" s="82">
        <f t="shared" si="13"/>
        <v>252</v>
      </c>
      <c r="V38" s="82">
        <f t="shared" si="14"/>
        <v>71</v>
      </c>
      <c r="W38" s="82">
        <f t="shared" si="14"/>
        <v>169</v>
      </c>
      <c r="X38" s="82">
        <f t="shared" si="14"/>
        <v>325</v>
      </c>
      <c r="Y38" s="82">
        <f t="shared" si="14"/>
        <v>514</v>
      </c>
      <c r="Z38" s="82">
        <f t="shared" si="14"/>
        <v>643</v>
      </c>
      <c r="AB38" s="82">
        <f t="shared" si="15"/>
        <v>99</v>
      </c>
      <c r="AC38" s="82">
        <f t="shared" si="15"/>
        <v>171</v>
      </c>
      <c r="AD38" s="82">
        <f t="shared" si="15"/>
        <v>283</v>
      </c>
      <c r="AE38" s="82">
        <f t="shared" si="15"/>
        <v>399</v>
      </c>
      <c r="AG38" s="82">
        <f t="shared" si="16"/>
        <v>270</v>
      </c>
      <c r="AH38" s="82">
        <f t="shared" si="16"/>
        <v>357</v>
      </c>
      <c r="AI38" s="82">
        <f t="shared" si="16"/>
        <v>521</v>
      </c>
      <c r="AJ38" s="82">
        <f t="shared" si="16"/>
        <v>639</v>
      </c>
      <c r="AL38" s="82">
        <f t="shared" si="17"/>
        <v>550.80599999999993</v>
      </c>
      <c r="AM38" s="82">
        <f t="shared" si="17"/>
        <v>806.90099999999995</v>
      </c>
      <c r="AN38" s="82">
        <f t="shared" si="17"/>
        <v>1052.704</v>
      </c>
      <c r="AO38" s="82">
        <f t="shared" si="17"/>
        <v>1296.3579999999999</v>
      </c>
      <c r="AQ38" s="82">
        <f t="shared" si="18"/>
        <v>839.06799999999998</v>
      </c>
      <c r="AR38" s="82">
        <f t="shared" si="18"/>
        <v>1798.26</v>
      </c>
      <c r="AS38" s="82">
        <f t="shared" si="18"/>
        <v>2532.116</v>
      </c>
      <c r="AT38" s="82">
        <f t="shared" si="18"/>
        <v>3330</v>
      </c>
      <c r="AU38" s="129"/>
      <c r="AV38" s="82">
        <f t="shared" si="19"/>
        <v>791.64800000000002</v>
      </c>
      <c r="AW38" s="82">
        <f t="shared" si="19"/>
        <v>1866.9119999999998</v>
      </c>
      <c r="AX38" s="82">
        <f t="shared" si="19"/>
        <v>2749.672</v>
      </c>
      <c r="AY38" s="82">
        <f t="shared" si="19"/>
        <v>3618</v>
      </c>
    </row>
    <row r="39" spans="1:51">
      <c r="A39" t="s">
        <v>419</v>
      </c>
      <c r="B39" s="82">
        <f t="shared" si="10"/>
        <v>3069</v>
      </c>
      <c r="C39" s="82">
        <f t="shared" si="10"/>
        <v>0</v>
      </c>
      <c r="D39" s="82">
        <f t="shared" si="10"/>
        <v>0</v>
      </c>
      <c r="E39" s="82">
        <f t="shared" si="10"/>
        <v>0</v>
      </c>
      <c r="G39" s="82">
        <f t="shared" si="11"/>
        <v>2711</v>
      </c>
      <c r="H39" s="82">
        <f t="shared" si="11"/>
        <v>5646</v>
      </c>
      <c r="I39" s="82">
        <f t="shared" si="11"/>
        <v>8337.8979999999992</v>
      </c>
      <c r="J39" s="82">
        <f t="shared" si="11"/>
        <v>11539</v>
      </c>
      <c r="L39" s="82">
        <f t="shared" si="12"/>
        <v>2214</v>
      </c>
      <c r="M39" s="82">
        <f t="shared" si="12"/>
        <v>4783</v>
      </c>
      <c r="N39" s="82">
        <f t="shared" si="12"/>
        <v>7644</v>
      </c>
      <c r="O39" s="82">
        <f t="shared" si="12"/>
        <v>10640</v>
      </c>
      <c r="Q39" s="82">
        <f t="shared" si="13"/>
        <v>2453</v>
      </c>
      <c r="R39" s="82">
        <f t="shared" si="13"/>
        <v>4399</v>
      </c>
      <c r="S39" s="82">
        <f t="shared" si="13"/>
        <v>6180</v>
      </c>
      <c r="T39" s="82">
        <f t="shared" si="13"/>
        <v>7554</v>
      </c>
      <c r="V39" s="82">
        <f t="shared" si="14"/>
        <v>2550</v>
      </c>
      <c r="W39" s="82">
        <f t="shared" si="14"/>
        <v>5139</v>
      </c>
      <c r="X39" s="82">
        <f t="shared" si="14"/>
        <v>7103</v>
      </c>
      <c r="Y39" s="82">
        <f t="shared" si="14"/>
        <v>9154</v>
      </c>
      <c r="Z39" s="82">
        <f t="shared" si="14"/>
        <v>12259</v>
      </c>
      <c r="AB39" s="82">
        <f t="shared" si="15"/>
        <v>2300</v>
      </c>
      <c r="AC39" s="82">
        <f t="shared" si="15"/>
        <v>4833</v>
      </c>
      <c r="AD39" s="82">
        <f t="shared" si="15"/>
        <v>6667</v>
      </c>
      <c r="AE39" s="82">
        <f t="shared" si="15"/>
        <v>8413</v>
      </c>
      <c r="AG39" s="82">
        <f t="shared" si="16"/>
        <v>2486</v>
      </c>
      <c r="AH39" s="82">
        <f t="shared" si="16"/>
        <v>4618</v>
      </c>
      <c r="AI39" s="82">
        <f t="shared" si="16"/>
        <v>6391</v>
      </c>
      <c r="AJ39" s="82">
        <f t="shared" si="16"/>
        <v>8114</v>
      </c>
      <c r="AL39" s="82">
        <f t="shared" si="17"/>
        <v>2409.8759999999997</v>
      </c>
      <c r="AM39" s="82">
        <f t="shared" si="17"/>
        <v>4710.2709999999997</v>
      </c>
      <c r="AN39" s="82">
        <f t="shared" si="17"/>
        <v>6522.71</v>
      </c>
      <c r="AO39" s="82">
        <f t="shared" si="17"/>
        <v>8503.3559999999998</v>
      </c>
      <c r="AQ39" s="82">
        <f t="shared" si="18"/>
        <v>2315.683</v>
      </c>
      <c r="AR39" s="82">
        <f t="shared" si="18"/>
        <v>4540.2110000000002</v>
      </c>
      <c r="AS39" s="82">
        <f t="shared" si="18"/>
        <v>6335.9080000000013</v>
      </c>
      <c r="AT39" s="82">
        <f t="shared" si="18"/>
        <v>8123</v>
      </c>
      <c r="AU39" s="129"/>
      <c r="AV39" s="82">
        <f t="shared" si="19"/>
        <v>1237.779</v>
      </c>
      <c r="AW39" s="82">
        <f t="shared" si="19"/>
        <v>2899.0610000000001</v>
      </c>
      <c r="AX39" s="82">
        <f t="shared" si="19"/>
        <v>3825.7330000000002</v>
      </c>
      <c r="AY39" s="82">
        <f t="shared" si="19"/>
        <v>5266</v>
      </c>
    </row>
    <row r="40" spans="1:51">
      <c r="A40" t="s">
        <v>381</v>
      </c>
      <c r="B40" s="242">
        <f>SUM(B34:B39)</f>
        <v>9552</v>
      </c>
      <c r="C40" s="242">
        <f>SUM(C34:C39)</f>
        <v>0</v>
      </c>
      <c r="D40" s="242">
        <f>SUM(D34:D39)</f>
        <v>0</v>
      </c>
      <c r="E40" s="242">
        <f>SUM(E34:E39)</f>
        <v>0</v>
      </c>
      <c r="G40" s="242">
        <f>SUM(G34:G39)</f>
        <v>8793</v>
      </c>
      <c r="H40" s="242">
        <f>SUM(H34:H39)</f>
        <v>17412</v>
      </c>
      <c r="I40" s="242">
        <f>SUM(I34:I39)</f>
        <v>26259.248</v>
      </c>
      <c r="J40" s="242">
        <f>SUM(J34:J39)</f>
        <v>35833</v>
      </c>
      <c r="L40" s="242">
        <f>SUM(L34:L39)</f>
        <v>6855</v>
      </c>
      <c r="M40" s="242">
        <f>SUM(M34:M39)</f>
        <v>14335</v>
      </c>
      <c r="N40" s="242">
        <f>SUM(N34:N39)</f>
        <v>22431</v>
      </c>
      <c r="O40" s="242">
        <f>SUM(O34:O39)</f>
        <v>31170</v>
      </c>
      <c r="Q40" s="242">
        <f>SUM(Q34:Q39)</f>
        <v>10299</v>
      </c>
      <c r="R40" s="242">
        <f>SUM(R34:R39)</f>
        <v>19089</v>
      </c>
      <c r="S40" s="242">
        <f>SUM(S34:S39)</f>
        <v>25889</v>
      </c>
      <c r="T40" s="242">
        <f>SUM(T34:T39)</f>
        <v>30640</v>
      </c>
      <c r="V40" s="242">
        <f>SUM(V34:V39)</f>
        <v>9381</v>
      </c>
      <c r="W40" s="242">
        <f>SUM(W34:W39)</f>
        <v>19563</v>
      </c>
      <c r="X40" s="242">
        <f>SUM(X34:X39)</f>
        <v>28737</v>
      </c>
      <c r="Y40" s="242">
        <f>SUM(Y34:Y39)</f>
        <v>37787</v>
      </c>
      <c r="Z40" s="242">
        <f>SUM(Z34:Z39)</f>
        <v>48530</v>
      </c>
      <c r="AB40" s="242">
        <f>SUM(AB34:AB39)</f>
        <v>9831</v>
      </c>
      <c r="AC40" s="242">
        <f>SUM(AC34:AC39)</f>
        <v>19843</v>
      </c>
      <c r="AD40" s="242">
        <f>SUM(AD34:AD39)</f>
        <v>27591</v>
      </c>
      <c r="AE40" s="242">
        <f>SUM(AE34:AE39)</f>
        <v>35636</v>
      </c>
      <c r="AG40" s="242">
        <f>SUM(AG34:AG39)</f>
        <v>9492</v>
      </c>
      <c r="AH40" s="242">
        <f>SUM(AH34:AH39)</f>
        <v>19250</v>
      </c>
      <c r="AI40" s="242">
        <f>SUM(AI34:AI39)</f>
        <v>27576</v>
      </c>
      <c r="AJ40" s="242">
        <f>SUM(AJ34:AJ39)</f>
        <v>35739</v>
      </c>
      <c r="AL40" s="242">
        <f>SUM(AL34:AL39)</f>
        <v>9018.4559999999983</v>
      </c>
      <c r="AM40" s="242">
        <f>SUM(AM34:AM39)</f>
        <v>17869.918999999998</v>
      </c>
      <c r="AN40" s="242">
        <f>SUM(AN34:AN39)</f>
        <v>25893.337</v>
      </c>
      <c r="AO40" s="242">
        <f>SUM(AO34:AO39)</f>
        <v>33807.717000000004</v>
      </c>
      <c r="AQ40" s="242">
        <f>SUM(AQ34:AQ39)</f>
        <v>8751.5240000000013</v>
      </c>
      <c r="AR40" s="242">
        <f>SUM(AR34:AR39)</f>
        <v>18089.838</v>
      </c>
      <c r="AS40" s="242">
        <f>SUM(AS34:AS39)</f>
        <v>25901.936000000002</v>
      </c>
      <c r="AT40" s="242">
        <f>SUM(AT34:AT39)</f>
        <v>34043</v>
      </c>
      <c r="AU40" s="115"/>
      <c r="AV40" s="242">
        <f>SUM(AV34:AV39)</f>
        <v>7339.3279999999995</v>
      </c>
      <c r="AW40" s="242">
        <f>SUM(AW34:AW39)</f>
        <v>17059.414000000001</v>
      </c>
      <c r="AX40" s="242">
        <f>SUM(AX34:AX39)</f>
        <v>24964.94</v>
      </c>
      <c r="AY40" s="242">
        <f>SUM(AY34:AY39)</f>
        <v>32429</v>
      </c>
    </row>
    <row r="41" spans="1:51">
      <c r="AT41"/>
    </row>
    <row r="42" spans="1:51">
      <c r="A42" t="s">
        <v>423</v>
      </c>
      <c r="B42">
        <v>-3092</v>
      </c>
      <c r="G42">
        <v>-2364</v>
      </c>
      <c r="H42">
        <v>-4610</v>
      </c>
      <c r="I42" s="26">
        <v>-7171.5680000000002</v>
      </c>
      <c r="J42">
        <v>-9830</v>
      </c>
      <c r="L42">
        <v>-1916</v>
      </c>
      <c r="M42">
        <v>-3423</v>
      </c>
      <c r="N42">
        <v>-5456</v>
      </c>
      <c r="O42">
        <v>-7719</v>
      </c>
      <c r="Q42">
        <v>-2603</v>
      </c>
      <c r="R42">
        <v>-4981</v>
      </c>
      <c r="S42">
        <v>-7032</v>
      </c>
      <c r="T42">
        <v>-8433</v>
      </c>
      <c r="V42">
        <v>-2324</v>
      </c>
      <c r="W42">
        <v>-4604</v>
      </c>
      <c r="X42">
        <v>-6724</v>
      </c>
      <c r="Y42">
        <v>-9135</v>
      </c>
      <c r="Z42">
        <f>Y42-2665</f>
        <v>-11800</v>
      </c>
      <c r="AB42">
        <v>-3013</v>
      </c>
      <c r="AC42">
        <v>-5671</v>
      </c>
      <c r="AD42">
        <v>-7220</v>
      </c>
      <c r="AE42">
        <v>-9147</v>
      </c>
      <c r="AG42">
        <v>-2594</v>
      </c>
      <c r="AH42">
        <v>-5352</v>
      </c>
      <c r="AI42">
        <v>-7174</v>
      </c>
      <c r="AJ42">
        <f>-9308</f>
        <v>-9308</v>
      </c>
      <c r="AL42">
        <v>-2341</v>
      </c>
      <c r="AM42">
        <v>-4780</v>
      </c>
      <c r="AN42">
        <v>-6716</v>
      </c>
      <c r="AO42">
        <v>-8914</v>
      </c>
      <c r="AQ42">
        <v>-1848</v>
      </c>
      <c r="AR42">
        <v>-3708</v>
      </c>
      <c r="AS42">
        <v>-4790</v>
      </c>
      <c r="AT42">
        <v>-6347</v>
      </c>
      <c r="AV42">
        <v>-6347</v>
      </c>
      <c r="AW42">
        <v>-3296</v>
      </c>
      <c r="AX42">
        <v>-3296</v>
      </c>
      <c r="AY42">
        <v>-5590</v>
      </c>
    </row>
    <row r="43" spans="1:51">
      <c r="A43" t="s">
        <v>639</v>
      </c>
      <c r="B43" s="82"/>
      <c r="C43" s="82"/>
      <c r="G43" s="82"/>
      <c r="H43" s="82"/>
      <c r="L43" s="82"/>
      <c r="M43" s="82"/>
      <c r="Q43" s="82"/>
      <c r="R43" s="82"/>
      <c r="V43" s="82"/>
      <c r="W43" s="82"/>
      <c r="AB43" s="82"/>
      <c r="AC43" s="82"/>
      <c r="AG43" s="82"/>
      <c r="AH43" s="82"/>
      <c r="AQ43">
        <v>-3</v>
      </c>
      <c r="AR43">
        <v>-11</v>
      </c>
      <c r="AS43">
        <v>-15</v>
      </c>
      <c r="AT43">
        <v>-18</v>
      </c>
      <c r="AV43">
        <v>-18</v>
      </c>
      <c r="AY43">
        <v>-20</v>
      </c>
    </row>
    <row r="44" spans="1:51">
      <c r="B44" s="242">
        <f>SUM(B40:B43)</f>
        <v>6460</v>
      </c>
      <c r="C44" s="242">
        <f>SUM(C40:C43)</f>
        <v>0</v>
      </c>
      <c r="D44" s="242">
        <f>SUM(D40:D43)</f>
        <v>0</v>
      </c>
      <c r="E44" s="242">
        <f>SUM(E40:E43)</f>
        <v>0</v>
      </c>
      <c r="G44" s="242">
        <f>SUM(G40:G43)</f>
        <v>6429</v>
      </c>
      <c r="H44" s="242">
        <f>SUM(H40:H43)</f>
        <v>12802</v>
      </c>
      <c r="I44" s="242">
        <f>SUM(I40:I43)</f>
        <v>19087.68</v>
      </c>
      <c r="J44" s="242">
        <f>SUM(J40:J43)</f>
        <v>26003</v>
      </c>
      <c r="L44" s="242">
        <f>SUM(L40:L43)</f>
        <v>4939</v>
      </c>
      <c r="M44" s="242">
        <f>SUM(M40:M43)</f>
        <v>10912</v>
      </c>
      <c r="N44" s="242">
        <f>SUM(N40:N43)</f>
        <v>16975</v>
      </c>
      <c r="O44" s="242">
        <f>SUM(O40:O43)</f>
        <v>23451</v>
      </c>
      <c r="Q44" s="242">
        <f>SUM(Q40:Q43)</f>
        <v>7696</v>
      </c>
      <c r="R44" s="242">
        <f>SUM(R40:R43)</f>
        <v>14108</v>
      </c>
      <c r="S44" s="242">
        <f>SUM(S40:S43)</f>
        <v>18857</v>
      </c>
      <c r="T44" s="242">
        <f>SUM(T40:T43)</f>
        <v>22207</v>
      </c>
      <c r="V44" s="242">
        <f>SUM(V40:V43)</f>
        <v>7057</v>
      </c>
      <c r="W44" s="242">
        <f>SUM(W40:W43)</f>
        <v>14959</v>
      </c>
      <c r="X44" s="242">
        <f>SUM(X40:X43)</f>
        <v>22013</v>
      </c>
      <c r="Y44" s="242">
        <f>SUM(Y40:Y43)</f>
        <v>28652</v>
      </c>
      <c r="Z44" s="242">
        <f>SUM(Z40:Z43)</f>
        <v>36730</v>
      </c>
      <c r="AB44" s="242">
        <f>SUM(AB40:AB43)</f>
        <v>6818</v>
      </c>
      <c r="AC44" s="242">
        <f>SUM(AC40:AC43)</f>
        <v>14172</v>
      </c>
      <c r="AD44" s="242">
        <f>SUM(AD40:AD43)</f>
        <v>20371</v>
      </c>
      <c r="AE44" s="242">
        <f>SUM(AE40:AE43)</f>
        <v>26489</v>
      </c>
      <c r="AG44" s="242">
        <f>SUM(AG40:AG43)</f>
        <v>6898</v>
      </c>
      <c r="AH44" s="242">
        <f>SUM(AH40:AH43)</f>
        <v>13898</v>
      </c>
      <c r="AI44" s="242">
        <f>SUM(AI40:AI43)</f>
        <v>20402</v>
      </c>
      <c r="AJ44" s="242">
        <f>SUM(AJ40:AJ43)</f>
        <v>26431</v>
      </c>
      <c r="AL44" s="242">
        <f>SUM(AL40:AL43)</f>
        <v>6677.4559999999983</v>
      </c>
      <c r="AM44" s="242">
        <f>SUM(AM40:AM43)</f>
        <v>13089.918999999998</v>
      </c>
      <c r="AN44" s="242">
        <f>SUM(AN40:AN43)</f>
        <v>19177.337</v>
      </c>
      <c r="AO44" s="242">
        <f>SUM(AO40:AO43)</f>
        <v>24893.717000000004</v>
      </c>
      <c r="AQ44" s="242">
        <f>SUM(AQ40:AQ43)</f>
        <v>6900.5240000000013</v>
      </c>
      <c r="AR44" s="242">
        <f>SUM(AR40:AR43)</f>
        <v>14370.838</v>
      </c>
      <c r="AS44" s="242">
        <f>SUM(AS40:AS43)</f>
        <v>21096.936000000002</v>
      </c>
      <c r="AT44" s="242">
        <f>SUM(AT40:AT43)</f>
        <v>27678</v>
      </c>
      <c r="AU44" s="241"/>
      <c r="AV44" s="242">
        <f>+AV40+AV42</f>
        <v>992.32799999999952</v>
      </c>
      <c r="AW44" s="243">
        <f>SUM(AW34:AW42)</f>
        <v>30822.828000000001</v>
      </c>
      <c r="AX44" s="243">
        <f>SUM(AX34:AX42)</f>
        <v>46633.88</v>
      </c>
      <c r="AY44" s="243">
        <f>SUM(AY34:AY42)</f>
        <v>59268</v>
      </c>
    </row>
    <row r="45" spans="1:51">
      <c r="E45" s="82"/>
      <c r="J45" s="82"/>
      <c r="O45" s="82"/>
      <c r="T45" s="82"/>
      <c r="Y45" s="82"/>
      <c r="Z45" s="82"/>
      <c r="AE45" s="82"/>
      <c r="AT45"/>
    </row>
    <row r="46" spans="1:51">
      <c r="A46" t="s">
        <v>415</v>
      </c>
      <c r="B46" s="82">
        <f t="shared" ref="B46:D47" si="20">+B34</f>
        <v>1616</v>
      </c>
      <c r="C46" s="82">
        <f t="shared" si="20"/>
        <v>0</v>
      </c>
      <c r="D46" s="82">
        <f t="shared" si="20"/>
        <v>0</v>
      </c>
      <c r="E46" s="82">
        <f>+E34</f>
        <v>0</v>
      </c>
      <c r="G46" s="82">
        <f t="shared" ref="G46:J47" si="21">+G34</f>
        <v>1815</v>
      </c>
      <c r="H46" s="82">
        <f t="shared" si="21"/>
        <v>3597</v>
      </c>
      <c r="I46" s="82">
        <f t="shared" si="21"/>
        <v>5337.652</v>
      </c>
      <c r="J46" s="82">
        <f t="shared" si="21"/>
        <v>7079</v>
      </c>
      <c r="L46" s="82">
        <f t="shared" ref="L46:O47" si="22">+L34</f>
        <v>1145</v>
      </c>
      <c r="M46" s="82">
        <f t="shared" si="22"/>
        <v>2826</v>
      </c>
      <c r="N46" s="82">
        <f t="shared" si="22"/>
        <v>4261</v>
      </c>
      <c r="O46" s="82">
        <f t="shared" si="22"/>
        <v>6115</v>
      </c>
      <c r="Q46" s="82">
        <f t="shared" ref="Q46:T47" si="23">+Q34</f>
        <v>2271</v>
      </c>
      <c r="R46" s="82">
        <f t="shared" si="23"/>
        <v>4394</v>
      </c>
      <c r="S46" s="82">
        <f t="shared" si="23"/>
        <v>5518</v>
      </c>
      <c r="T46" s="82">
        <f t="shared" si="23"/>
        <v>6269</v>
      </c>
      <c r="V46" s="82">
        <f t="shared" ref="V46:Z47" si="24">+V34</f>
        <v>1598</v>
      </c>
      <c r="W46" s="82">
        <f t="shared" si="24"/>
        <v>3770</v>
      </c>
      <c r="X46" s="82">
        <f t="shared" si="24"/>
        <v>5547</v>
      </c>
      <c r="Y46" s="82">
        <f t="shared" si="24"/>
        <v>7250</v>
      </c>
      <c r="Z46" s="82">
        <f t="shared" si="24"/>
        <v>9420</v>
      </c>
      <c r="AB46" s="82">
        <f t="shared" ref="AB46:AE47" si="25">+AB34</f>
        <v>1708</v>
      </c>
      <c r="AC46" s="82">
        <f t="shared" si="25"/>
        <v>3517</v>
      </c>
      <c r="AD46" s="82">
        <f t="shared" si="25"/>
        <v>5218</v>
      </c>
      <c r="AE46" s="82">
        <f t="shared" si="25"/>
        <v>6771</v>
      </c>
      <c r="AG46" s="82">
        <f t="shared" ref="AG46:AJ47" si="26">+AG34</f>
        <v>1684</v>
      </c>
      <c r="AH46" s="82">
        <f t="shared" si="26"/>
        <v>3667</v>
      </c>
      <c r="AI46" s="82">
        <f t="shared" si="26"/>
        <v>5730</v>
      </c>
      <c r="AJ46" s="82">
        <f t="shared" si="26"/>
        <v>7467</v>
      </c>
      <c r="AL46" s="82">
        <f t="shared" ref="AL46:AO47" si="27">+AL34</f>
        <v>1708.2099999999998</v>
      </c>
      <c r="AM46" s="82">
        <f t="shared" si="27"/>
        <v>3184.3429999999998</v>
      </c>
      <c r="AN46" s="82">
        <f t="shared" si="27"/>
        <v>4864.6009999999997</v>
      </c>
      <c r="AO46" s="82">
        <f t="shared" si="27"/>
        <v>6393.3389999999999</v>
      </c>
      <c r="AQ46" s="82">
        <f t="shared" ref="AQ46:AT47" si="28">+AQ34</f>
        <v>2550.578</v>
      </c>
      <c r="AR46" s="82">
        <f t="shared" si="28"/>
        <v>5300.326</v>
      </c>
      <c r="AS46" s="82">
        <f t="shared" si="28"/>
        <v>8177.3459999999995</v>
      </c>
      <c r="AT46" s="82">
        <f t="shared" si="28"/>
        <v>10650</v>
      </c>
      <c r="AU46" s="129"/>
      <c r="AV46" s="82">
        <f t="shared" ref="AV46:AY47" si="29">+AV34</f>
        <v>2268.5609999999997</v>
      </c>
      <c r="AW46" s="82">
        <f t="shared" si="29"/>
        <v>5385.93</v>
      </c>
      <c r="AX46" s="82">
        <f t="shared" si="29"/>
        <v>8777.6419999999998</v>
      </c>
      <c r="AY46" s="82">
        <f t="shared" si="29"/>
        <v>11502</v>
      </c>
    </row>
    <row r="47" spans="1:51">
      <c r="A47" t="s">
        <v>416</v>
      </c>
      <c r="B47" s="82">
        <f t="shared" si="20"/>
        <v>613</v>
      </c>
      <c r="C47" s="82">
        <f t="shared" si="20"/>
        <v>0</v>
      </c>
      <c r="D47" s="82">
        <f t="shared" si="20"/>
        <v>0</v>
      </c>
      <c r="E47" s="82">
        <f>+E35</f>
        <v>0</v>
      </c>
      <c r="G47" s="82">
        <f t="shared" si="21"/>
        <v>776</v>
      </c>
      <c r="H47" s="82">
        <f t="shared" si="21"/>
        <v>1618</v>
      </c>
      <c r="I47" s="82">
        <f t="shared" si="21"/>
        <v>2505.0250000000001</v>
      </c>
      <c r="J47" s="82">
        <f t="shared" si="21"/>
        <v>3280</v>
      </c>
      <c r="L47" s="82">
        <f t="shared" si="22"/>
        <v>521</v>
      </c>
      <c r="M47" s="82">
        <f t="shared" si="22"/>
        <v>1315</v>
      </c>
      <c r="N47" s="82">
        <f t="shared" si="22"/>
        <v>2227</v>
      </c>
      <c r="O47" s="82">
        <f t="shared" si="22"/>
        <v>2926</v>
      </c>
      <c r="Q47" s="82">
        <f t="shared" si="23"/>
        <v>1403</v>
      </c>
      <c r="R47" s="82">
        <f t="shared" si="23"/>
        <v>2632</v>
      </c>
      <c r="S47" s="82">
        <f t="shared" si="23"/>
        <v>3503</v>
      </c>
      <c r="T47" s="82">
        <f t="shared" si="23"/>
        <v>3994</v>
      </c>
      <c r="V47" s="82">
        <f t="shared" si="24"/>
        <v>1379</v>
      </c>
      <c r="W47" s="82">
        <f t="shared" si="24"/>
        <v>3075</v>
      </c>
      <c r="X47" s="82">
        <f t="shared" si="24"/>
        <v>4978</v>
      </c>
      <c r="Y47" s="82">
        <f t="shared" si="24"/>
        <v>6386</v>
      </c>
      <c r="Z47" s="82">
        <f t="shared" si="24"/>
        <v>7502</v>
      </c>
      <c r="AB47" s="82">
        <f t="shared" si="25"/>
        <v>1053</v>
      </c>
      <c r="AC47" s="82">
        <f t="shared" si="25"/>
        <v>2653</v>
      </c>
      <c r="AD47" s="82">
        <f t="shared" si="25"/>
        <v>4115</v>
      </c>
      <c r="AE47" s="82">
        <f t="shared" si="25"/>
        <v>5510</v>
      </c>
      <c r="AG47" s="82">
        <f t="shared" si="26"/>
        <v>818</v>
      </c>
      <c r="AH47" s="82">
        <f t="shared" si="26"/>
        <v>1899</v>
      </c>
      <c r="AI47" s="82">
        <f t="shared" si="26"/>
        <v>3255</v>
      </c>
      <c r="AJ47" s="82">
        <f t="shared" si="26"/>
        <v>4454</v>
      </c>
      <c r="AL47" s="82">
        <f t="shared" si="27"/>
        <v>661.88099999999997</v>
      </c>
      <c r="AM47" s="82">
        <f t="shared" si="27"/>
        <v>1656</v>
      </c>
      <c r="AN47" s="82">
        <f t="shared" si="27"/>
        <v>2890</v>
      </c>
      <c r="AO47" s="82">
        <f t="shared" si="27"/>
        <v>3724</v>
      </c>
      <c r="AQ47" s="82">
        <f t="shared" si="28"/>
        <v>490.02100000000002</v>
      </c>
      <c r="AR47" s="82">
        <f t="shared" si="28"/>
        <v>1113.413</v>
      </c>
      <c r="AS47" s="82">
        <f t="shared" si="28"/>
        <v>1849.135</v>
      </c>
      <c r="AT47" s="82">
        <f t="shared" si="28"/>
        <v>2470</v>
      </c>
      <c r="AU47" s="129"/>
      <c r="AV47" s="82">
        <f t="shared" si="29"/>
        <v>527.42700000000002</v>
      </c>
      <c r="AW47" s="82">
        <f t="shared" si="29"/>
        <v>1346.848</v>
      </c>
      <c r="AX47" s="82">
        <f t="shared" si="29"/>
        <v>2148.1</v>
      </c>
      <c r="AY47" s="82">
        <f t="shared" si="29"/>
        <v>2664</v>
      </c>
    </row>
    <row r="48" spans="1:51">
      <c r="A48" s="25" t="s">
        <v>421</v>
      </c>
      <c r="B48" s="242">
        <f>SUM(B46:B47)</f>
        <v>2229</v>
      </c>
      <c r="C48" s="242">
        <f>SUM(C46:C47)</f>
        <v>0</v>
      </c>
      <c r="D48" s="242">
        <f>SUM(D46:D47)</f>
        <v>0</v>
      </c>
      <c r="E48" s="242">
        <f>SUM(E46:E47)</f>
        <v>0</v>
      </c>
      <c r="G48" s="242">
        <f>SUM(G46:G47)</f>
        <v>2591</v>
      </c>
      <c r="H48" s="242">
        <f>SUM(H46:H47)</f>
        <v>5215</v>
      </c>
      <c r="I48" s="242">
        <f>SUM(I46:I47)</f>
        <v>7842.6769999999997</v>
      </c>
      <c r="J48" s="242">
        <f>SUM(J46:J47)</f>
        <v>10359</v>
      </c>
      <c r="L48" s="242">
        <f>SUM(L46:L47)</f>
        <v>1666</v>
      </c>
      <c r="M48" s="242">
        <f>SUM(M46:M47)</f>
        <v>4141</v>
      </c>
      <c r="N48" s="242">
        <f>SUM(N46:N47)</f>
        <v>6488</v>
      </c>
      <c r="O48" s="242">
        <f>SUM(O46:O47)</f>
        <v>9041</v>
      </c>
      <c r="Q48" s="242">
        <f>SUM(Q46:Q47)</f>
        <v>3674</v>
      </c>
      <c r="R48" s="242">
        <f>SUM(R46:R47)</f>
        <v>7026</v>
      </c>
      <c r="S48" s="242">
        <f>SUM(S46:S47)</f>
        <v>9021</v>
      </c>
      <c r="T48" s="242">
        <f>SUM(T46:T47)</f>
        <v>10263</v>
      </c>
      <c r="V48" s="242">
        <f>SUM(V46:V47)</f>
        <v>2977</v>
      </c>
      <c r="W48" s="242">
        <f>SUM(W46:W47)</f>
        <v>6845</v>
      </c>
      <c r="X48" s="242">
        <f>SUM(X46:X47)</f>
        <v>10525</v>
      </c>
      <c r="Y48" s="242">
        <f>SUM(Y46:Y47)</f>
        <v>13636</v>
      </c>
      <c r="Z48" s="242">
        <f>SUM(Z46:Z47)</f>
        <v>16922</v>
      </c>
      <c r="AB48" s="242">
        <f>SUM(AB46:AB47)</f>
        <v>2761</v>
      </c>
      <c r="AC48" s="242">
        <f>SUM(AC46:AC47)</f>
        <v>6170</v>
      </c>
      <c r="AD48" s="242">
        <f>SUM(AD46:AD47)</f>
        <v>9333</v>
      </c>
      <c r="AE48" s="242">
        <f>SUM(AE46:AE47)</f>
        <v>12281</v>
      </c>
      <c r="AG48" s="242">
        <f>SUM(AG46:AG47)</f>
        <v>2502</v>
      </c>
      <c r="AH48" s="242">
        <f>SUM(AH46:AH47)</f>
        <v>5566</v>
      </c>
      <c r="AI48" s="242">
        <f>SUM(AI46:AI47)</f>
        <v>8985</v>
      </c>
      <c r="AJ48" s="242">
        <f>SUM(AJ46:AJ47)</f>
        <v>11921</v>
      </c>
      <c r="AL48" s="242">
        <f>SUM(AL46:AL47)</f>
        <v>2370.0909999999999</v>
      </c>
      <c r="AM48" s="242">
        <f>SUM(AM46:AM47)</f>
        <v>4840.3429999999998</v>
      </c>
      <c r="AN48" s="242">
        <f>SUM(AN46:AN47)</f>
        <v>7754.6009999999997</v>
      </c>
      <c r="AO48" s="242">
        <f>SUM(AO46:AO47)</f>
        <v>10117.339</v>
      </c>
      <c r="AQ48" s="242">
        <f>SUM(AQ46:AQ47)</f>
        <v>3040.5990000000002</v>
      </c>
      <c r="AR48" s="242">
        <f>SUM(AR46:AR47)</f>
        <v>6413.7389999999996</v>
      </c>
      <c r="AS48" s="242">
        <f>SUM(AS46:AS47)</f>
        <v>10026.481</v>
      </c>
      <c r="AT48" s="242">
        <f>SUM(AT46:AT47)</f>
        <v>13120</v>
      </c>
      <c r="AU48" s="115"/>
      <c r="AV48" s="242">
        <f>SUM(AV46:AV47)</f>
        <v>2795.9879999999998</v>
      </c>
      <c r="AW48" s="242">
        <f>SUM(AW46:AW47)</f>
        <v>6732.7780000000002</v>
      </c>
      <c r="AX48" s="242">
        <f>SUM(AX46:AX47)</f>
        <v>10925.742</v>
      </c>
      <c r="AY48" s="242">
        <f>SUM(AY46:AY47)</f>
        <v>14166</v>
      </c>
    </row>
    <row r="49" spans="1:51">
      <c r="A49" s="25"/>
      <c r="AQ49" s="241"/>
      <c r="AR49" s="241"/>
      <c r="AS49" s="241"/>
      <c r="AT49" s="241"/>
      <c r="AU49" s="241"/>
      <c r="AV49" s="241"/>
      <c r="AW49" s="241"/>
      <c r="AX49" s="241"/>
      <c r="AY49" s="241"/>
    </row>
    <row r="50" spans="1:51">
      <c r="A50" t="s">
        <v>422</v>
      </c>
      <c r="B50" s="82">
        <f t="shared" ref="B50:E53" si="30">+B36</f>
        <v>0</v>
      </c>
      <c r="C50" s="82">
        <f t="shared" si="30"/>
        <v>0</v>
      </c>
      <c r="D50" s="82">
        <f t="shared" si="30"/>
        <v>0</v>
      </c>
      <c r="E50" s="82">
        <f t="shared" si="30"/>
        <v>0</v>
      </c>
      <c r="G50" s="82">
        <f t="shared" ref="G50:J53" si="31">+G36</f>
        <v>0</v>
      </c>
      <c r="H50" s="82">
        <f t="shared" si="31"/>
        <v>0</v>
      </c>
      <c r="I50" s="82">
        <f t="shared" si="31"/>
        <v>0</v>
      </c>
      <c r="J50" s="82">
        <f t="shared" si="31"/>
        <v>0</v>
      </c>
      <c r="L50" s="82">
        <f t="shared" ref="L50:O53" si="32">+L36</f>
        <v>0</v>
      </c>
      <c r="M50" s="82">
        <f t="shared" si="32"/>
        <v>0</v>
      </c>
      <c r="N50" s="82">
        <f t="shared" si="32"/>
        <v>0</v>
      </c>
      <c r="O50" s="82">
        <f t="shared" si="32"/>
        <v>0</v>
      </c>
      <c r="Q50" s="82">
        <f t="shared" ref="Q50:T53" si="33">+Q36</f>
        <v>0</v>
      </c>
      <c r="R50" s="82">
        <f t="shared" si="33"/>
        <v>0</v>
      </c>
      <c r="S50" s="82">
        <f t="shared" si="33"/>
        <v>0</v>
      </c>
      <c r="T50" s="82">
        <f t="shared" si="33"/>
        <v>0</v>
      </c>
      <c r="V50" s="82">
        <f t="shared" ref="V50:Z53" si="34">+V36</f>
        <v>0</v>
      </c>
      <c r="W50" s="82">
        <f t="shared" si="34"/>
        <v>0</v>
      </c>
      <c r="X50" s="82">
        <f t="shared" si="34"/>
        <v>0</v>
      </c>
      <c r="Y50" s="82">
        <f t="shared" si="34"/>
        <v>0</v>
      </c>
      <c r="Z50" s="82">
        <f t="shared" si="34"/>
        <v>0</v>
      </c>
      <c r="AB50" s="82">
        <f t="shared" ref="AB50:AE53" si="35">+AB36</f>
        <v>0</v>
      </c>
      <c r="AC50" s="82">
        <f t="shared" si="35"/>
        <v>0</v>
      </c>
      <c r="AD50" s="82">
        <f t="shared" si="35"/>
        <v>0</v>
      </c>
      <c r="AE50" s="82">
        <f t="shared" si="35"/>
        <v>0</v>
      </c>
      <c r="AG50" s="82">
        <f t="shared" ref="AG50:AJ53" si="36">+AG36</f>
        <v>0</v>
      </c>
      <c r="AH50" s="82">
        <f t="shared" si="36"/>
        <v>0</v>
      </c>
      <c r="AI50" s="82">
        <f t="shared" si="36"/>
        <v>0</v>
      </c>
      <c r="AJ50" s="82">
        <f t="shared" si="36"/>
        <v>0</v>
      </c>
      <c r="AL50" s="82">
        <f t="shared" ref="AL50:AO53" si="37">+AL36</f>
        <v>0</v>
      </c>
      <c r="AM50" s="82">
        <f t="shared" si="37"/>
        <v>0</v>
      </c>
      <c r="AN50" s="82">
        <f t="shared" si="37"/>
        <v>0</v>
      </c>
      <c r="AO50" s="82">
        <f t="shared" si="37"/>
        <v>0</v>
      </c>
      <c r="AQ50" s="82">
        <f t="shared" ref="AQ50:AT53" si="38">+AQ36</f>
        <v>17.715</v>
      </c>
      <c r="AR50" s="82">
        <f t="shared" si="38"/>
        <v>50</v>
      </c>
      <c r="AS50" s="82">
        <f t="shared" si="38"/>
        <v>57.402000000000001</v>
      </c>
      <c r="AT50" s="82">
        <f t="shared" si="38"/>
        <v>67</v>
      </c>
      <c r="AU50" s="129"/>
      <c r="AV50" s="82">
        <f t="shared" ref="AV50:AY53" si="39">+AV36</f>
        <v>32.186</v>
      </c>
      <c r="AW50" s="82">
        <f t="shared" si="39"/>
        <v>40</v>
      </c>
      <c r="AX50" s="82">
        <f t="shared" si="39"/>
        <v>48</v>
      </c>
      <c r="AY50" s="82">
        <f t="shared" si="39"/>
        <v>48</v>
      </c>
    </row>
    <row r="51" spans="1:51">
      <c r="A51" t="s">
        <v>417</v>
      </c>
      <c r="B51" s="82">
        <f t="shared" si="30"/>
        <v>4193</v>
      </c>
      <c r="C51" s="82">
        <f t="shared" si="30"/>
        <v>0</v>
      </c>
      <c r="D51" s="82">
        <f t="shared" si="30"/>
        <v>0</v>
      </c>
      <c r="E51" s="82">
        <f t="shared" si="30"/>
        <v>0</v>
      </c>
      <c r="G51" s="82">
        <f t="shared" si="31"/>
        <v>3351</v>
      </c>
      <c r="H51" s="82">
        <f t="shared" si="31"/>
        <v>6305</v>
      </c>
      <c r="I51" s="82">
        <f t="shared" si="31"/>
        <v>9779.8420000000006</v>
      </c>
      <c r="J51" s="82">
        <f t="shared" si="31"/>
        <v>13604</v>
      </c>
      <c r="L51" s="82">
        <f t="shared" si="32"/>
        <v>2812</v>
      </c>
      <c r="M51" s="82">
        <f t="shared" si="32"/>
        <v>5054</v>
      </c>
      <c r="N51" s="82">
        <f t="shared" si="32"/>
        <v>7825</v>
      </c>
      <c r="O51" s="82">
        <f t="shared" si="32"/>
        <v>10884</v>
      </c>
      <c r="Q51" s="82">
        <f t="shared" si="33"/>
        <v>4090</v>
      </c>
      <c r="R51" s="82">
        <f t="shared" si="33"/>
        <v>7542</v>
      </c>
      <c r="S51" s="82">
        <f t="shared" si="33"/>
        <v>10468</v>
      </c>
      <c r="T51" s="82">
        <f t="shared" si="33"/>
        <v>12571</v>
      </c>
      <c r="V51" s="82">
        <f t="shared" si="34"/>
        <v>3783</v>
      </c>
      <c r="W51" s="82">
        <f t="shared" si="34"/>
        <v>7410</v>
      </c>
      <c r="X51" s="82">
        <f t="shared" si="34"/>
        <v>10784</v>
      </c>
      <c r="Y51" s="82">
        <f t="shared" si="34"/>
        <v>14483</v>
      </c>
      <c r="Z51" s="82">
        <f t="shared" si="34"/>
        <v>18706</v>
      </c>
      <c r="AB51" s="82">
        <f t="shared" si="35"/>
        <v>4671</v>
      </c>
      <c r="AC51" s="82">
        <f t="shared" si="35"/>
        <v>8669</v>
      </c>
      <c r="AD51" s="82">
        <f t="shared" si="35"/>
        <v>11308</v>
      </c>
      <c r="AE51" s="82">
        <f t="shared" si="35"/>
        <v>14543</v>
      </c>
      <c r="AG51" s="82">
        <f t="shared" si="36"/>
        <v>4234</v>
      </c>
      <c r="AH51" s="82">
        <f t="shared" si="36"/>
        <v>8709</v>
      </c>
      <c r="AI51" s="82">
        <f t="shared" si="36"/>
        <v>11679</v>
      </c>
      <c r="AJ51" s="82">
        <f t="shared" si="36"/>
        <v>15065</v>
      </c>
      <c r="AL51" s="82">
        <f t="shared" si="37"/>
        <v>3687.683</v>
      </c>
      <c r="AM51" s="82">
        <f t="shared" si="37"/>
        <v>7512.4040000000005</v>
      </c>
      <c r="AN51" s="82">
        <f t="shared" si="37"/>
        <v>10563.322</v>
      </c>
      <c r="AO51" s="82">
        <f t="shared" si="37"/>
        <v>13890.664000000001</v>
      </c>
      <c r="AQ51" s="82">
        <f t="shared" si="38"/>
        <v>2538.4589999999998</v>
      </c>
      <c r="AR51" s="82">
        <f t="shared" si="38"/>
        <v>5287.6279999999997</v>
      </c>
      <c r="AS51" s="82">
        <f t="shared" si="38"/>
        <v>6950.0290000000005</v>
      </c>
      <c r="AT51" s="82">
        <f t="shared" si="38"/>
        <v>9403</v>
      </c>
      <c r="AU51" s="129"/>
      <c r="AV51" s="82">
        <f t="shared" si="39"/>
        <v>2481.7269999999999</v>
      </c>
      <c r="AW51" s="82">
        <f t="shared" si="39"/>
        <v>5520.6630000000005</v>
      </c>
      <c r="AX51" s="82">
        <f t="shared" si="39"/>
        <v>7415.7929999999997</v>
      </c>
      <c r="AY51" s="82">
        <f t="shared" si="39"/>
        <v>9331</v>
      </c>
    </row>
    <row r="52" spans="1:51">
      <c r="A52" t="s">
        <v>418</v>
      </c>
      <c r="B52" s="82">
        <f t="shared" si="30"/>
        <v>61</v>
      </c>
      <c r="C52" s="82">
        <f t="shared" si="30"/>
        <v>0</v>
      </c>
      <c r="D52" s="82">
        <f t="shared" si="30"/>
        <v>0</v>
      </c>
      <c r="E52" s="82">
        <f t="shared" si="30"/>
        <v>0</v>
      </c>
      <c r="G52" s="82">
        <f t="shared" si="31"/>
        <v>140</v>
      </c>
      <c r="H52" s="82">
        <f t="shared" si="31"/>
        <v>246</v>
      </c>
      <c r="I52" s="82">
        <f t="shared" si="31"/>
        <v>298.83099999999996</v>
      </c>
      <c r="J52" s="82">
        <f t="shared" si="31"/>
        <v>331</v>
      </c>
      <c r="L52" s="82">
        <f t="shared" si="32"/>
        <v>163</v>
      </c>
      <c r="M52" s="82">
        <f t="shared" si="32"/>
        <v>357</v>
      </c>
      <c r="N52" s="82">
        <f t="shared" si="32"/>
        <v>474</v>
      </c>
      <c r="O52" s="82">
        <f t="shared" si="32"/>
        <v>605</v>
      </c>
      <c r="Q52" s="82">
        <f t="shared" si="33"/>
        <v>82</v>
      </c>
      <c r="R52" s="82">
        <f t="shared" si="33"/>
        <v>122</v>
      </c>
      <c r="S52" s="82">
        <f t="shared" si="33"/>
        <v>220</v>
      </c>
      <c r="T52" s="82">
        <f t="shared" si="33"/>
        <v>252</v>
      </c>
      <c r="V52" s="82">
        <f t="shared" si="34"/>
        <v>71</v>
      </c>
      <c r="W52" s="82">
        <f t="shared" si="34"/>
        <v>169</v>
      </c>
      <c r="X52" s="82">
        <f t="shared" si="34"/>
        <v>325</v>
      </c>
      <c r="Y52" s="82">
        <f t="shared" si="34"/>
        <v>514</v>
      </c>
      <c r="Z52" s="82">
        <f t="shared" si="34"/>
        <v>643</v>
      </c>
      <c r="AB52" s="82">
        <f t="shared" si="35"/>
        <v>99</v>
      </c>
      <c r="AC52" s="82">
        <f t="shared" si="35"/>
        <v>171</v>
      </c>
      <c r="AD52" s="82">
        <f t="shared" si="35"/>
        <v>283</v>
      </c>
      <c r="AE52" s="82">
        <f t="shared" si="35"/>
        <v>399</v>
      </c>
      <c r="AG52" s="82">
        <f t="shared" si="36"/>
        <v>270</v>
      </c>
      <c r="AH52" s="82">
        <f t="shared" si="36"/>
        <v>357</v>
      </c>
      <c r="AI52" s="82">
        <f t="shared" si="36"/>
        <v>521</v>
      </c>
      <c r="AJ52" s="82">
        <f t="shared" si="36"/>
        <v>639</v>
      </c>
      <c r="AL52" s="82">
        <f t="shared" si="37"/>
        <v>550.80599999999993</v>
      </c>
      <c r="AM52" s="82">
        <f t="shared" si="37"/>
        <v>806.90099999999995</v>
      </c>
      <c r="AN52" s="82">
        <f t="shared" si="37"/>
        <v>1052.704</v>
      </c>
      <c r="AO52" s="82">
        <f t="shared" si="37"/>
        <v>1296.3579999999999</v>
      </c>
      <c r="AQ52" s="82">
        <f t="shared" si="38"/>
        <v>839.06799999999998</v>
      </c>
      <c r="AR52" s="82">
        <f t="shared" si="38"/>
        <v>1798.26</v>
      </c>
      <c r="AS52" s="82">
        <f t="shared" si="38"/>
        <v>2532.116</v>
      </c>
      <c r="AT52" s="82">
        <f t="shared" si="38"/>
        <v>3330</v>
      </c>
      <c r="AU52" s="129"/>
      <c r="AV52" s="82">
        <f t="shared" si="39"/>
        <v>791.64800000000002</v>
      </c>
      <c r="AW52" s="82">
        <f t="shared" si="39"/>
        <v>1866.9119999999998</v>
      </c>
      <c r="AX52" s="82">
        <f t="shared" si="39"/>
        <v>2749.672</v>
      </c>
      <c r="AY52" s="82">
        <f t="shared" si="39"/>
        <v>3618</v>
      </c>
    </row>
    <row r="53" spans="1:51">
      <c r="A53" t="s">
        <v>419</v>
      </c>
      <c r="B53" s="82">
        <f t="shared" si="30"/>
        <v>3069</v>
      </c>
      <c r="C53" s="82">
        <f t="shared" si="30"/>
        <v>0</v>
      </c>
      <c r="D53" s="82">
        <f t="shared" si="30"/>
        <v>0</v>
      </c>
      <c r="E53" s="82">
        <f t="shared" si="30"/>
        <v>0</v>
      </c>
      <c r="G53" s="82">
        <f t="shared" si="31"/>
        <v>2711</v>
      </c>
      <c r="H53" s="82">
        <f t="shared" si="31"/>
        <v>5646</v>
      </c>
      <c r="I53" s="82">
        <f t="shared" si="31"/>
        <v>8337.8979999999992</v>
      </c>
      <c r="J53" s="82">
        <f t="shared" si="31"/>
        <v>11539</v>
      </c>
      <c r="L53" s="82">
        <f t="shared" si="32"/>
        <v>2214</v>
      </c>
      <c r="M53" s="82">
        <f t="shared" si="32"/>
        <v>4783</v>
      </c>
      <c r="N53" s="82">
        <f t="shared" si="32"/>
        <v>7644</v>
      </c>
      <c r="O53" s="82">
        <f t="shared" si="32"/>
        <v>10640</v>
      </c>
      <c r="Q53" s="82">
        <f t="shared" si="33"/>
        <v>2453</v>
      </c>
      <c r="R53" s="82">
        <f t="shared" si="33"/>
        <v>4399</v>
      </c>
      <c r="S53" s="82">
        <f t="shared" si="33"/>
        <v>6180</v>
      </c>
      <c r="T53" s="82">
        <f t="shared" si="33"/>
        <v>7554</v>
      </c>
      <c r="V53" s="82">
        <f t="shared" si="34"/>
        <v>2550</v>
      </c>
      <c r="W53" s="82">
        <f t="shared" si="34"/>
        <v>5139</v>
      </c>
      <c r="X53" s="82">
        <f t="shared" si="34"/>
        <v>7103</v>
      </c>
      <c r="Y53" s="82">
        <f t="shared" si="34"/>
        <v>9154</v>
      </c>
      <c r="Z53" s="82">
        <f t="shared" si="34"/>
        <v>12259</v>
      </c>
      <c r="AB53" s="82">
        <f t="shared" si="35"/>
        <v>2300</v>
      </c>
      <c r="AC53" s="82">
        <f t="shared" si="35"/>
        <v>4833</v>
      </c>
      <c r="AD53" s="82">
        <f t="shared" si="35"/>
        <v>6667</v>
      </c>
      <c r="AE53" s="82">
        <f t="shared" si="35"/>
        <v>8413</v>
      </c>
      <c r="AG53" s="82">
        <f t="shared" si="36"/>
        <v>2486</v>
      </c>
      <c r="AH53" s="82">
        <f t="shared" si="36"/>
        <v>4618</v>
      </c>
      <c r="AI53" s="82">
        <f t="shared" si="36"/>
        <v>6391</v>
      </c>
      <c r="AJ53" s="82">
        <f t="shared" si="36"/>
        <v>8114</v>
      </c>
      <c r="AL53" s="82">
        <f t="shared" si="37"/>
        <v>2409.8759999999997</v>
      </c>
      <c r="AM53" s="82">
        <f t="shared" si="37"/>
        <v>4710.2709999999997</v>
      </c>
      <c r="AN53" s="82">
        <f t="shared" si="37"/>
        <v>6522.71</v>
      </c>
      <c r="AO53" s="82">
        <f t="shared" si="37"/>
        <v>8503.3559999999998</v>
      </c>
      <c r="AQ53" s="82">
        <f t="shared" si="38"/>
        <v>2315.683</v>
      </c>
      <c r="AR53" s="82">
        <f t="shared" si="38"/>
        <v>4540.2110000000002</v>
      </c>
      <c r="AS53" s="82">
        <f t="shared" si="38"/>
        <v>6335.9080000000013</v>
      </c>
      <c r="AT53" s="82">
        <f t="shared" si="38"/>
        <v>8123</v>
      </c>
      <c r="AU53" s="129"/>
      <c r="AV53" s="82">
        <f t="shared" si="39"/>
        <v>1237.779</v>
      </c>
      <c r="AW53" s="82">
        <f t="shared" si="39"/>
        <v>2899.0610000000001</v>
      </c>
      <c r="AX53" s="82">
        <f t="shared" si="39"/>
        <v>3825.7330000000002</v>
      </c>
      <c r="AY53" s="82">
        <f t="shared" si="39"/>
        <v>5266</v>
      </c>
    </row>
    <row r="54" spans="1:51">
      <c r="A54" s="25" t="s">
        <v>424</v>
      </c>
      <c r="B54" s="242">
        <f>SUM(B50:B53)</f>
        <v>7323</v>
      </c>
      <c r="C54" s="242">
        <f>SUM(C50:C53)</f>
        <v>0</v>
      </c>
      <c r="D54" s="242">
        <f>SUM(D50:D53)</f>
        <v>0</v>
      </c>
      <c r="E54" s="242">
        <f>SUM(E50:E53)</f>
        <v>0</v>
      </c>
      <c r="G54" s="242">
        <f>SUM(G50:G53)</f>
        <v>6202</v>
      </c>
      <c r="H54" s="242">
        <f>SUM(H50:H53)</f>
        <v>12197</v>
      </c>
      <c r="I54" s="242">
        <f>SUM(I50:I53)</f>
        <v>18416.571</v>
      </c>
      <c r="J54" s="242">
        <f>SUM(J50:J53)</f>
        <v>25474</v>
      </c>
      <c r="L54" s="242">
        <f>SUM(L50:L53)</f>
        <v>5189</v>
      </c>
      <c r="M54" s="242">
        <f>SUM(M50:M53)</f>
        <v>10194</v>
      </c>
      <c r="N54" s="242">
        <f>SUM(N50:N53)</f>
        <v>15943</v>
      </c>
      <c r="O54" s="242">
        <f>SUM(O50:O53)</f>
        <v>22129</v>
      </c>
      <c r="Q54" s="242">
        <f>SUM(Q50:Q53)</f>
        <v>6625</v>
      </c>
      <c r="R54" s="242">
        <f>SUM(R50:R53)</f>
        <v>12063</v>
      </c>
      <c r="S54" s="242">
        <f>SUM(S50:S53)</f>
        <v>16868</v>
      </c>
      <c r="T54" s="242">
        <f>SUM(T50:T53)</f>
        <v>20377</v>
      </c>
      <c r="V54" s="242">
        <f>SUM(V50:V53)</f>
        <v>6404</v>
      </c>
      <c r="W54" s="242">
        <f>SUM(W50:W53)</f>
        <v>12718</v>
      </c>
      <c r="X54" s="242">
        <f>SUM(X50:X53)</f>
        <v>18212</v>
      </c>
      <c r="Y54" s="242">
        <f>SUM(Y50:Y53)</f>
        <v>24151</v>
      </c>
      <c r="Z54" s="242">
        <f>SUM(Z50:Z53)</f>
        <v>31608</v>
      </c>
      <c r="AB54" s="242">
        <f>SUM(AB50:AB53)</f>
        <v>7070</v>
      </c>
      <c r="AC54" s="242">
        <f>SUM(AC50:AC53)</f>
        <v>13673</v>
      </c>
      <c r="AD54" s="242">
        <f>SUM(AD50:AD53)</f>
        <v>18258</v>
      </c>
      <c r="AE54" s="242">
        <f>SUM(AE50:AE53)</f>
        <v>23355</v>
      </c>
      <c r="AG54" s="242">
        <f>SUM(AG50:AG53)</f>
        <v>6990</v>
      </c>
      <c r="AH54" s="242">
        <f>SUM(AH50:AH53)</f>
        <v>13684</v>
      </c>
      <c r="AI54" s="242">
        <f>SUM(AI50:AI53)</f>
        <v>18591</v>
      </c>
      <c r="AJ54" s="242">
        <f>SUM(AJ50:AJ53)</f>
        <v>23818</v>
      </c>
      <c r="AL54" s="242">
        <f>SUM(AL50:AL53)</f>
        <v>6648.3649999999998</v>
      </c>
      <c r="AM54" s="242">
        <f>SUM(AM50:AM53)</f>
        <v>13029.576000000001</v>
      </c>
      <c r="AN54" s="242">
        <f>SUM(AN50:AN53)</f>
        <v>18138.736000000001</v>
      </c>
      <c r="AO54" s="242">
        <f>SUM(AO50:AO53)</f>
        <v>23690.378000000001</v>
      </c>
      <c r="AQ54" s="242">
        <f>SUM(AQ50:AQ53)</f>
        <v>5710.9250000000002</v>
      </c>
      <c r="AR54" s="242">
        <f>SUM(AR50:AR53)</f>
        <v>11676.099</v>
      </c>
      <c r="AS54" s="242">
        <f>SUM(AS50:AS53)</f>
        <v>15875.455000000002</v>
      </c>
      <c r="AT54" s="242">
        <f>SUM(AT50:AT53)</f>
        <v>20923</v>
      </c>
      <c r="AU54" s="115"/>
      <c r="AV54" s="242">
        <f>SUM(AV50:AV53)</f>
        <v>4543.34</v>
      </c>
      <c r="AW54" s="242">
        <f>SUM(AW50:AW53)</f>
        <v>10326.636</v>
      </c>
      <c r="AX54" s="242">
        <f>SUM(AX50:AX53)</f>
        <v>14039.198</v>
      </c>
      <c r="AY54" s="242">
        <f>SUM(AY50:AY53)</f>
        <v>18263</v>
      </c>
    </row>
    <row r="55" spans="1:51">
      <c r="A55" s="25"/>
      <c r="B55" s="241"/>
      <c r="G55" s="241"/>
      <c r="L55" s="241"/>
      <c r="Q55" s="241"/>
      <c r="V55" s="241"/>
      <c r="AB55" s="241"/>
      <c r="AG55" s="241"/>
      <c r="AL55" s="241"/>
      <c r="AQ55" s="241"/>
      <c r="AR55" s="241"/>
      <c r="AS55" s="241"/>
      <c r="AT55" s="241"/>
      <c r="AU55" s="241"/>
      <c r="AV55" s="241"/>
      <c r="AW55" s="241"/>
      <c r="AX55" s="241"/>
      <c r="AY55" s="241"/>
    </row>
    <row r="56" spans="1:51">
      <c r="A56" s="25" t="s">
        <v>381</v>
      </c>
      <c r="B56" s="82">
        <f>+B48+B54</f>
        <v>9552</v>
      </c>
      <c r="C56" s="82">
        <f>+C48+C54</f>
        <v>0</v>
      </c>
      <c r="D56" s="82">
        <f>+D48+D54</f>
        <v>0</v>
      </c>
      <c r="E56" s="82">
        <f>+E48+E54</f>
        <v>0</v>
      </c>
      <c r="G56" s="82">
        <f>+G48+G54</f>
        <v>8793</v>
      </c>
      <c r="H56" s="82">
        <f>+H48+H54</f>
        <v>17412</v>
      </c>
      <c r="I56" s="82">
        <f>+I48+I54</f>
        <v>26259.248</v>
      </c>
      <c r="J56" s="82">
        <f>+J48+J54</f>
        <v>35833</v>
      </c>
      <c r="L56" s="82">
        <f>+L48+L54</f>
        <v>6855</v>
      </c>
      <c r="M56" s="82">
        <f>+M48+M54</f>
        <v>14335</v>
      </c>
      <c r="N56" s="82">
        <f>+N48+N54</f>
        <v>22431</v>
      </c>
      <c r="O56" s="82">
        <f>+O48+O54</f>
        <v>31170</v>
      </c>
      <c r="Q56" s="82">
        <f>+Q48+Q54</f>
        <v>10299</v>
      </c>
      <c r="R56" s="82">
        <f>+R48+R54</f>
        <v>19089</v>
      </c>
      <c r="S56" s="82">
        <f>+S48+S54</f>
        <v>25889</v>
      </c>
      <c r="T56" s="82">
        <f>+T48+T54</f>
        <v>30640</v>
      </c>
      <c r="V56" s="82">
        <f>+V48+V54</f>
        <v>9381</v>
      </c>
      <c r="W56" s="82">
        <f>+W48+W54</f>
        <v>19563</v>
      </c>
      <c r="X56" s="82">
        <f>+X48+X54</f>
        <v>28737</v>
      </c>
      <c r="Y56" s="82">
        <f>+Y48+Y54</f>
        <v>37787</v>
      </c>
      <c r="Z56" s="82">
        <f>+Z48+Z54</f>
        <v>48530</v>
      </c>
      <c r="AB56" s="82">
        <f>+AB48+AB54</f>
        <v>9831</v>
      </c>
      <c r="AC56" s="82">
        <f>+AC48+AC54</f>
        <v>19843</v>
      </c>
      <c r="AD56" s="82">
        <f>+AD48+AD54</f>
        <v>27591</v>
      </c>
      <c r="AE56" s="82">
        <f>+AE48+AE54</f>
        <v>35636</v>
      </c>
      <c r="AG56" s="82">
        <f>+AG48+AG54</f>
        <v>9492</v>
      </c>
      <c r="AH56" s="82">
        <f>+AH48+AH54</f>
        <v>19250</v>
      </c>
      <c r="AI56" s="82">
        <f>+AI48+AI54</f>
        <v>27576</v>
      </c>
      <c r="AJ56" s="82">
        <f>+AJ48+AJ54</f>
        <v>35739</v>
      </c>
      <c r="AL56" s="82">
        <f>+AL48+AL54</f>
        <v>9018.4560000000001</v>
      </c>
      <c r="AM56" s="82">
        <f>+AM48+AM54</f>
        <v>17869.919000000002</v>
      </c>
      <c r="AN56" s="82">
        <f>+AN48+AN54</f>
        <v>25893.337</v>
      </c>
      <c r="AO56" s="82">
        <f>+AO48+AO54</f>
        <v>33807.717000000004</v>
      </c>
      <c r="AQ56" s="82">
        <f>+AQ48+AQ54</f>
        <v>8751.5240000000013</v>
      </c>
      <c r="AR56" s="82">
        <f>+AR48+AR54</f>
        <v>18089.838</v>
      </c>
      <c r="AS56" s="82">
        <f>+AS48+AS54</f>
        <v>25901.936000000002</v>
      </c>
      <c r="AT56" s="82">
        <f>+AT48+AT54</f>
        <v>34043</v>
      </c>
      <c r="AU56" s="129"/>
      <c r="AV56" s="82">
        <f>+AV48+AV54</f>
        <v>7339.3279999999995</v>
      </c>
      <c r="AW56" s="82">
        <f>+AW48+AW54</f>
        <v>17059.414000000001</v>
      </c>
      <c r="AX56" s="82">
        <f>+AX48+AX54</f>
        <v>24964.940000000002</v>
      </c>
      <c r="AY56" s="82">
        <f>+AY48+AY54</f>
        <v>32429</v>
      </c>
    </row>
    <row r="57" spans="1:51">
      <c r="B57" s="82"/>
      <c r="G57" s="82"/>
      <c r="L57" s="82"/>
      <c r="Q57" s="82"/>
      <c r="V57" s="82"/>
      <c r="AB57" s="82"/>
      <c r="AG57" s="82"/>
      <c r="AL57" s="82"/>
      <c r="AQ57" s="82"/>
      <c r="AR57" s="82"/>
      <c r="AS57" s="82"/>
      <c r="AT57" s="82"/>
      <c r="AU57" s="241"/>
      <c r="AV57" s="82"/>
      <c r="AW57" s="246"/>
      <c r="AX57" s="246"/>
      <c r="AY57" s="246"/>
    </row>
    <row r="58" spans="1:51">
      <c r="A58" t="s">
        <v>423</v>
      </c>
      <c r="B58" s="82">
        <f t="shared" ref="B58:D59" si="40">+B42</f>
        <v>-3092</v>
      </c>
      <c r="C58" s="82">
        <f t="shared" si="40"/>
        <v>0</v>
      </c>
      <c r="D58" s="82">
        <f t="shared" si="40"/>
        <v>0</v>
      </c>
      <c r="E58" s="82">
        <f>+E42</f>
        <v>0</v>
      </c>
      <c r="G58" s="82">
        <f t="shared" ref="G58:J59" si="41">+G42</f>
        <v>-2364</v>
      </c>
      <c r="H58" s="82">
        <f t="shared" si="41"/>
        <v>-4610</v>
      </c>
      <c r="I58" s="82">
        <f t="shared" si="41"/>
        <v>-7171.5680000000002</v>
      </c>
      <c r="J58" s="82">
        <f t="shared" si="41"/>
        <v>-9830</v>
      </c>
      <c r="L58" s="82">
        <f t="shared" ref="L58:O59" si="42">+L42</f>
        <v>-1916</v>
      </c>
      <c r="M58" s="82">
        <f t="shared" si="42"/>
        <v>-3423</v>
      </c>
      <c r="N58" s="82">
        <f t="shared" si="42"/>
        <v>-5456</v>
      </c>
      <c r="O58" s="82">
        <f t="shared" si="42"/>
        <v>-7719</v>
      </c>
      <c r="Q58" s="82">
        <f t="shared" ref="Q58:T59" si="43">+Q42</f>
        <v>-2603</v>
      </c>
      <c r="R58" s="82">
        <f t="shared" si="43"/>
        <v>-4981</v>
      </c>
      <c r="S58" s="82">
        <f t="shared" si="43"/>
        <v>-7032</v>
      </c>
      <c r="T58" s="82">
        <f t="shared" si="43"/>
        <v>-8433</v>
      </c>
      <c r="V58" s="82">
        <f t="shared" ref="V58:Z59" si="44">+V42</f>
        <v>-2324</v>
      </c>
      <c r="W58" s="82">
        <f t="shared" si="44"/>
        <v>-4604</v>
      </c>
      <c r="X58" s="82">
        <f t="shared" si="44"/>
        <v>-6724</v>
      </c>
      <c r="Y58" s="82">
        <f t="shared" si="44"/>
        <v>-9135</v>
      </c>
      <c r="Z58" s="82">
        <f t="shared" si="44"/>
        <v>-11800</v>
      </c>
      <c r="AB58" s="82">
        <f t="shared" ref="AB58:AE59" si="45">+AB42</f>
        <v>-3013</v>
      </c>
      <c r="AC58" s="82">
        <f t="shared" si="45"/>
        <v>-5671</v>
      </c>
      <c r="AD58" s="82">
        <f t="shared" si="45"/>
        <v>-7220</v>
      </c>
      <c r="AE58" s="82">
        <f t="shared" si="45"/>
        <v>-9147</v>
      </c>
      <c r="AG58" s="82">
        <f t="shared" ref="AG58:AJ59" si="46">+AG42</f>
        <v>-2594</v>
      </c>
      <c r="AH58" s="82">
        <f t="shared" si="46"/>
        <v>-5352</v>
      </c>
      <c r="AI58" s="82">
        <f t="shared" si="46"/>
        <v>-7174</v>
      </c>
      <c r="AJ58" s="82">
        <f t="shared" si="46"/>
        <v>-9308</v>
      </c>
      <c r="AL58" s="82">
        <f t="shared" ref="AL58:AO59" si="47">+AL42</f>
        <v>-2341</v>
      </c>
      <c r="AM58" s="82">
        <f t="shared" si="47"/>
        <v>-4780</v>
      </c>
      <c r="AN58" s="82">
        <f t="shared" si="47"/>
        <v>-6716</v>
      </c>
      <c r="AO58" s="82">
        <f t="shared" si="47"/>
        <v>-8914</v>
      </c>
      <c r="AQ58" s="82">
        <f t="shared" ref="AQ58:AT59" si="48">+AQ42</f>
        <v>-1848</v>
      </c>
      <c r="AR58" s="82">
        <f t="shared" si="48"/>
        <v>-3708</v>
      </c>
      <c r="AS58" s="82">
        <f t="shared" si="48"/>
        <v>-4790</v>
      </c>
      <c r="AT58" s="82">
        <f t="shared" si="48"/>
        <v>-6347</v>
      </c>
      <c r="AU58" s="241"/>
      <c r="AV58" s="82">
        <f>+AV42</f>
        <v>-6347</v>
      </c>
      <c r="AW58" s="82">
        <f>+AW42</f>
        <v>-3296</v>
      </c>
      <c r="AX58" s="82">
        <v>-4334</v>
      </c>
      <c r="AY58" s="82">
        <f>+AY42</f>
        <v>-5590</v>
      </c>
    </row>
    <row r="59" spans="1:51">
      <c r="A59" t="s">
        <v>639</v>
      </c>
      <c r="B59" s="82">
        <f t="shared" si="40"/>
        <v>0</v>
      </c>
      <c r="C59" s="82">
        <f t="shared" si="40"/>
        <v>0</v>
      </c>
      <c r="D59" s="82">
        <f t="shared" si="40"/>
        <v>0</v>
      </c>
      <c r="E59" s="82">
        <f>+E43</f>
        <v>0</v>
      </c>
      <c r="G59" s="82">
        <f t="shared" si="41"/>
        <v>0</v>
      </c>
      <c r="H59" s="82">
        <f t="shared" si="41"/>
        <v>0</v>
      </c>
      <c r="I59" s="82">
        <f t="shared" si="41"/>
        <v>0</v>
      </c>
      <c r="J59" s="82">
        <f t="shared" si="41"/>
        <v>0</v>
      </c>
      <c r="L59" s="82">
        <f t="shared" si="42"/>
        <v>0</v>
      </c>
      <c r="M59" s="82">
        <f t="shared" si="42"/>
        <v>0</v>
      </c>
      <c r="N59" s="82">
        <f t="shared" si="42"/>
        <v>0</v>
      </c>
      <c r="O59" s="82">
        <f t="shared" si="42"/>
        <v>0</v>
      </c>
      <c r="Q59" s="82">
        <f t="shared" si="43"/>
        <v>0</v>
      </c>
      <c r="R59" s="82">
        <f t="shared" si="43"/>
        <v>0</v>
      </c>
      <c r="S59" s="82">
        <f t="shared" si="43"/>
        <v>0</v>
      </c>
      <c r="T59" s="82">
        <f t="shared" si="43"/>
        <v>0</v>
      </c>
      <c r="V59" s="82">
        <f t="shared" si="44"/>
        <v>0</v>
      </c>
      <c r="W59" s="82">
        <f t="shared" si="44"/>
        <v>0</v>
      </c>
      <c r="X59" s="82">
        <f t="shared" si="44"/>
        <v>0</v>
      </c>
      <c r="Y59" s="82">
        <f t="shared" si="44"/>
        <v>0</v>
      </c>
      <c r="Z59" s="82">
        <f t="shared" si="44"/>
        <v>0</v>
      </c>
      <c r="AB59" s="82">
        <f t="shared" si="45"/>
        <v>0</v>
      </c>
      <c r="AC59" s="82">
        <f t="shared" si="45"/>
        <v>0</v>
      </c>
      <c r="AD59" s="82">
        <f t="shared" si="45"/>
        <v>0</v>
      </c>
      <c r="AE59" s="82">
        <f t="shared" si="45"/>
        <v>0</v>
      </c>
      <c r="AG59" s="82">
        <f t="shared" si="46"/>
        <v>0</v>
      </c>
      <c r="AH59" s="82">
        <f t="shared" si="46"/>
        <v>0</v>
      </c>
      <c r="AI59" s="82">
        <f t="shared" si="46"/>
        <v>0</v>
      </c>
      <c r="AJ59" s="82">
        <f t="shared" si="46"/>
        <v>0</v>
      </c>
      <c r="AL59" s="82">
        <f t="shared" si="47"/>
        <v>0</v>
      </c>
      <c r="AM59" s="82">
        <f t="shared" si="47"/>
        <v>0</v>
      </c>
      <c r="AN59" s="82">
        <f t="shared" si="47"/>
        <v>0</v>
      </c>
      <c r="AO59" s="82">
        <f t="shared" si="47"/>
        <v>0</v>
      </c>
      <c r="AQ59" s="82">
        <f t="shared" si="48"/>
        <v>-3</v>
      </c>
      <c r="AR59" s="82">
        <f t="shared" si="48"/>
        <v>-11</v>
      </c>
      <c r="AS59" s="82">
        <f t="shared" si="48"/>
        <v>-15</v>
      </c>
      <c r="AT59" s="82">
        <f t="shared" si="48"/>
        <v>-18</v>
      </c>
      <c r="AU59" s="241">
        <f>+AT59-AS59</f>
        <v>-3</v>
      </c>
      <c r="AV59" s="82">
        <f>+AV43</f>
        <v>-18</v>
      </c>
      <c r="AW59" s="82">
        <v>-10</v>
      </c>
      <c r="AX59" s="82">
        <v>-17</v>
      </c>
      <c r="AY59" s="82">
        <f>+AY43</f>
        <v>-20</v>
      </c>
    </row>
    <row r="60" spans="1:51">
      <c r="A60" s="25" t="s">
        <v>425</v>
      </c>
      <c r="B60" s="242">
        <f>SUM(B56:B59)</f>
        <v>6460</v>
      </c>
      <c r="C60" s="242">
        <f>SUM(C56:C59)</f>
        <v>0</v>
      </c>
      <c r="D60" s="242">
        <f>SUM(D56:D59)</f>
        <v>0</v>
      </c>
      <c r="E60" s="242">
        <f>SUM(E56:E59)</f>
        <v>0</v>
      </c>
      <c r="G60" s="242">
        <f>SUM(G56:G59)</f>
        <v>6429</v>
      </c>
      <c r="H60" s="242">
        <f>SUM(H56:H59)</f>
        <v>12802</v>
      </c>
      <c r="I60" s="242">
        <f>SUM(I56:I59)</f>
        <v>19087.68</v>
      </c>
      <c r="J60" s="242">
        <f>SUM(J56:J59)</f>
        <v>26003</v>
      </c>
      <c r="L60" s="242">
        <f>SUM(L56:L59)</f>
        <v>4939</v>
      </c>
      <c r="M60" s="242">
        <f>SUM(M56:M59)</f>
        <v>10912</v>
      </c>
      <c r="N60" s="242">
        <f>SUM(N56:N59)</f>
        <v>16975</v>
      </c>
      <c r="O60" s="242">
        <f>SUM(O56:O59)</f>
        <v>23451</v>
      </c>
      <c r="Q60" s="242">
        <f>SUM(Q56:Q59)</f>
        <v>7696</v>
      </c>
      <c r="R60" s="242">
        <f>SUM(R56:R59)</f>
        <v>14108</v>
      </c>
      <c r="S60" s="242">
        <f>SUM(S56:S59)</f>
        <v>18857</v>
      </c>
      <c r="T60" s="242">
        <f>SUM(T56:T59)</f>
        <v>22207</v>
      </c>
      <c r="V60" s="242">
        <f>SUM(V56:V59)</f>
        <v>7057</v>
      </c>
      <c r="W60" s="242">
        <f>SUM(W56:W59)</f>
        <v>14959</v>
      </c>
      <c r="X60" s="242">
        <f>SUM(X56:X59)</f>
        <v>22013</v>
      </c>
      <c r="Y60" s="242">
        <f>SUM(Y56:Y59)</f>
        <v>28652</v>
      </c>
      <c r="Z60" s="242">
        <f>SUM(Z56:Z59)</f>
        <v>36730</v>
      </c>
      <c r="AB60" s="242">
        <f>SUM(AB56:AB59)</f>
        <v>6818</v>
      </c>
      <c r="AC60" s="242">
        <f>SUM(AC56:AC59)</f>
        <v>14172</v>
      </c>
      <c r="AD60" s="242">
        <f>SUM(AD56:AD59)</f>
        <v>20371</v>
      </c>
      <c r="AE60" s="242">
        <f>SUM(AE56:AE59)</f>
        <v>26489</v>
      </c>
      <c r="AG60" s="242">
        <f>SUM(AG56:AG59)</f>
        <v>6898</v>
      </c>
      <c r="AH60" s="242">
        <f>SUM(AH56:AH59)</f>
        <v>13898</v>
      </c>
      <c r="AI60" s="242">
        <f>SUM(AI56:AI59)</f>
        <v>20402</v>
      </c>
      <c r="AJ60" s="242">
        <f>SUM(AJ56:AJ59)</f>
        <v>26431</v>
      </c>
      <c r="AL60" s="242">
        <f>SUM(AL56:AL59)</f>
        <v>6677.4560000000001</v>
      </c>
      <c r="AM60" s="242">
        <f>SUM(AM56:AM59)</f>
        <v>13089.919000000002</v>
      </c>
      <c r="AN60" s="242">
        <f>SUM(AN56:AN59)</f>
        <v>19177.337</v>
      </c>
      <c r="AO60" s="242">
        <f>SUM(AO56:AO59)</f>
        <v>24893.717000000004</v>
      </c>
      <c r="AQ60" s="242">
        <f>SUM(AQ56:AQ59)</f>
        <v>6900.5240000000013</v>
      </c>
      <c r="AR60" s="242">
        <f>SUM(AR56:AR59)</f>
        <v>14370.838</v>
      </c>
      <c r="AS60" s="242">
        <f>SUM(AS56:AS59)</f>
        <v>21096.936000000002</v>
      </c>
      <c r="AT60" s="242">
        <f>SUM(AT56:AT59)</f>
        <v>27678</v>
      </c>
      <c r="AU60" s="241"/>
      <c r="AV60" s="242">
        <f>SUM(AV56:AV59)</f>
        <v>974.32799999999952</v>
      </c>
      <c r="AW60" s="242">
        <f>SUM(AW56:AW59)</f>
        <v>13753.414000000001</v>
      </c>
      <c r="AX60" s="242">
        <f>SUM(AX56:AX59)</f>
        <v>20613.940000000002</v>
      </c>
      <c r="AY60" s="242">
        <f>SUM(AY56:AY59)</f>
        <v>26819</v>
      </c>
    </row>
    <row r="61" spans="1:51">
      <c r="AT61"/>
      <c r="AX61" s="82"/>
      <c r="AY61" s="82"/>
    </row>
    <row r="62" spans="1:51">
      <c r="AR62" s="82"/>
      <c r="AS62" s="82"/>
      <c r="AT62" s="82"/>
      <c r="AU62" s="241"/>
      <c r="AV62">
        <v>2002</v>
      </c>
    </row>
    <row r="63" spans="1:51">
      <c r="A63" t="s">
        <v>426</v>
      </c>
      <c r="B63" s="251" t="s">
        <v>2622</v>
      </c>
      <c r="C63" s="251" t="s">
        <v>2623</v>
      </c>
      <c r="D63" s="251" t="s">
        <v>2624</v>
      </c>
      <c r="E63" s="251" t="s">
        <v>2625</v>
      </c>
      <c r="F63" s="25"/>
      <c r="G63" s="251" t="s">
        <v>2493</v>
      </c>
      <c r="H63" s="251" t="s">
        <v>2494</v>
      </c>
      <c r="I63" s="251" t="s">
        <v>2495</v>
      </c>
      <c r="J63" s="251" t="s">
        <v>2496</v>
      </c>
      <c r="K63" s="25"/>
      <c r="L63" s="251" t="s">
        <v>798</v>
      </c>
      <c r="M63" s="251" t="s">
        <v>799</v>
      </c>
      <c r="N63" s="251" t="s">
        <v>800</v>
      </c>
      <c r="O63" s="251" t="s">
        <v>801</v>
      </c>
      <c r="P63" s="25"/>
      <c r="Q63" s="251" t="s">
        <v>741</v>
      </c>
      <c r="R63" s="251" t="s">
        <v>742</v>
      </c>
      <c r="S63" s="251" t="s">
        <v>743</v>
      </c>
      <c r="T63" s="251" t="s">
        <v>744</v>
      </c>
      <c r="U63" s="25"/>
      <c r="V63" s="251" t="s">
        <v>700</v>
      </c>
      <c r="W63" s="251" t="s">
        <v>701</v>
      </c>
      <c r="X63" s="251" t="s">
        <v>702</v>
      </c>
      <c r="Y63" s="251" t="s">
        <v>703</v>
      </c>
      <c r="Z63" s="251" t="s">
        <v>729</v>
      </c>
      <c r="AA63" s="25"/>
      <c r="AB63" s="251" t="s">
        <v>656</v>
      </c>
      <c r="AC63" s="251" t="s">
        <v>657</v>
      </c>
      <c r="AD63" s="251" t="s">
        <v>658</v>
      </c>
      <c r="AE63" s="251" t="s">
        <v>659</v>
      </c>
      <c r="AF63" s="25"/>
      <c r="AG63" s="251" t="s">
        <v>619</v>
      </c>
      <c r="AH63" s="251" t="s">
        <v>620</v>
      </c>
      <c r="AI63" s="251" t="s">
        <v>634</v>
      </c>
      <c r="AJ63" s="251" t="s">
        <v>643</v>
      </c>
      <c r="AK63" s="25"/>
      <c r="AL63" s="251" t="s">
        <v>489</v>
      </c>
      <c r="AM63" s="251" t="s">
        <v>578</v>
      </c>
      <c r="AN63" s="251" t="s">
        <v>587</v>
      </c>
      <c r="AO63" s="251" t="s">
        <v>590</v>
      </c>
      <c r="AP63" s="25"/>
      <c r="AQ63" s="251" t="s">
        <v>485</v>
      </c>
      <c r="AR63" s="251" t="s">
        <v>486</v>
      </c>
      <c r="AS63" s="251" t="s">
        <v>487</v>
      </c>
      <c r="AT63" s="251" t="s">
        <v>488</v>
      </c>
      <c r="AU63" s="248"/>
      <c r="AV63" s="247" t="s">
        <v>427</v>
      </c>
      <c r="AW63" s="247" t="s">
        <v>428</v>
      </c>
      <c r="AX63" s="247" t="s">
        <v>429</v>
      </c>
      <c r="AY63" s="247" t="s">
        <v>430</v>
      </c>
    </row>
    <row r="64" spans="1:51">
      <c r="AT64"/>
    </row>
    <row r="65" spans="1:51">
      <c r="A65" s="25" t="s">
        <v>558</v>
      </c>
      <c r="B65" s="82">
        <f>+B48+B59</f>
        <v>2229</v>
      </c>
      <c r="C65" s="82">
        <f>+C48+C59-B65</f>
        <v>-2229</v>
      </c>
      <c r="D65" s="82">
        <f>+D48+D59-C65-B65</f>
        <v>0</v>
      </c>
      <c r="E65" s="82">
        <f>+E48+E59-D65-C65-B65</f>
        <v>0</v>
      </c>
      <c r="G65" s="82">
        <f>+G48+G59</f>
        <v>2591</v>
      </c>
      <c r="H65" s="82">
        <f>+H48+H59-G65</f>
        <v>2624</v>
      </c>
      <c r="I65" s="82">
        <f>+I48+I59-H65-G65</f>
        <v>2627.6769999999997</v>
      </c>
      <c r="J65" s="82">
        <f>+J48+J59-I65-H65-G65</f>
        <v>2516.3230000000003</v>
      </c>
      <c r="L65" s="82">
        <f>+L48+L59</f>
        <v>1666</v>
      </c>
      <c r="M65" s="82">
        <f>+M48+M59-L65</f>
        <v>2475</v>
      </c>
      <c r="N65" s="82">
        <f>+N48+N59-M65-L65</f>
        <v>2347</v>
      </c>
      <c r="O65" s="82">
        <f>+O48+O59-N65-M65-L65</f>
        <v>2553</v>
      </c>
      <c r="Q65" s="82">
        <f>+Q48+Q59</f>
        <v>3674</v>
      </c>
      <c r="R65" s="82">
        <f>+R48+R59-Q65</f>
        <v>3352</v>
      </c>
      <c r="S65" s="82">
        <f>+S48+S59-R65-Q65</f>
        <v>1995</v>
      </c>
      <c r="T65" s="82">
        <f>+T48+T59-S65-R65-Q65</f>
        <v>1242</v>
      </c>
      <c r="V65" s="82">
        <f>+V48+V59</f>
        <v>2977</v>
      </c>
      <c r="W65" s="82">
        <f>+W48+W59-V65</f>
        <v>3868</v>
      </c>
      <c r="X65" s="82">
        <f>+X48+X59-W65-V65</f>
        <v>3680</v>
      </c>
      <c r="Y65" s="82">
        <f>+Y48+Y59-X65-W65-V65</f>
        <v>3111</v>
      </c>
      <c r="Z65" s="82">
        <f>+Z48+Z59-Y65-X65-W65</f>
        <v>6263</v>
      </c>
      <c r="AB65" s="82">
        <f>+AB48+AB59</f>
        <v>2761</v>
      </c>
      <c r="AC65" s="82">
        <f>+AC48+AC59-AB65</f>
        <v>3409</v>
      </c>
      <c r="AD65" s="82">
        <f>+AD48+AD59-AC65-AB65</f>
        <v>3163</v>
      </c>
      <c r="AE65" s="82">
        <f>+AE48+AE59-AD65-AC65-AB65</f>
        <v>2948</v>
      </c>
      <c r="AG65" s="82">
        <f>+AG48+AG59</f>
        <v>2502</v>
      </c>
      <c r="AH65" s="82">
        <f>+AH48+AH59-AG65</f>
        <v>3064</v>
      </c>
      <c r="AI65" s="82">
        <f>+AI48+AI59-AH65-AG65</f>
        <v>3419</v>
      </c>
      <c r="AJ65" s="82">
        <f>+AJ48+AJ59-AI65-AH65-AG65</f>
        <v>2936</v>
      </c>
      <c r="AL65" s="82">
        <f>+AL48+AL59</f>
        <v>2370.0909999999999</v>
      </c>
      <c r="AM65" s="82">
        <f>+AM48+AM59-AL65</f>
        <v>2470.252</v>
      </c>
      <c r="AN65" s="82">
        <f>+AN48+AN59-AM65-AL65</f>
        <v>2914.2580000000003</v>
      </c>
      <c r="AO65" s="82">
        <f>+AO48+AO59-AN65-AM65-AL65</f>
        <v>2362.7379999999998</v>
      </c>
      <c r="AQ65" s="82">
        <f>+AQ48+AQ59</f>
        <v>3037.5990000000002</v>
      </c>
      <c r="AR65" s="82">
        <f>+AR48+AR59-AQ65</f>
        <v>3365.1399999999994</v>
      </c>
      <c r="AS65" s="82">
        <f>+AS48+AS59-AR65-AQ65</f>
        <v>3608.7420000000002</v>
      </c>
      <c r="AT65" s="82">
        <f>+AT48+AT59-AS65-AR65-AQ65</f>
        <v>3090.5190000000002</v>
      </c>
      <c r="AU65" s="241"/>
      <c r="AV65" s="82">
        <f>+AV48+AV59</f>
        <v>2777.9879999999998</v>
      </c>
      <c r="AW65" s="82">
        <f>+AW48+AW59-AV65</f>
        <v>3944.7900000000004</v>
      </c>
      <c r="AX65" s="82">
        <f>+AX48+AX59-AW65-AV65</f>
        <v>4185.9639999999999</v>
      </c>
      <c r="AY65" s="82">
        <f>+AY48+AY59-AX65-AW65-AV65</f>
        <v>3237.2579999999994</v>
      </c>
    </row>
    <row r="66" spans="1:51">
      <c r="A66" s="25" t="s">
        <v>559</v>
      </c>
      <c r="B66" s="82">
        <f>+B54+B58</f>
        <v>4231</v>
      </c>
      <c r="C66" s="82">
        <f>+C54+C58-B66</f>
        <v>-4231</v>
      </c>
      <c r="D66" s="82">
        <f>+D54+D58-C66-B66</f>
        <v>0</v>
      </c>
      <c r="E66" s="82">
        <f>+E54+E58-D66-C66-B66</f>
        <v>0</v>
      </c>
      <c r="G66" s="82">
        <f>+G54+G58</f>
        <v>3838</v>
      </c>
      <c r="H66" s="82">
        <f>+H54+H58-G66</f>
        <v>3749</v>
      </c>
      <c r="I66" s="82">
        <f>+I54+I58-H66-G66</f>
        <v>3658.0030000000006</v>
      </c>
      <c r="J66" s="82">
        <f>+J54+J58-I66-H66-G66</f>
        <v>4398.9969999999994</v>
      </c>
      <c r="L66" s="82">
        <f>+L54+L58</f>
        <v>3273</v>
      </c>
      <c r="M66" s="82">
        <f>+M54+M58-L66</f>
        <v>3498</v>
      </c>
      <c r="N66" s="82">
        <f>+N54+N58-M66-L66</f>
        <v>3716</v>
      </c>
      <c r="O66" s="82">
        <f>+O54+O58-N66-M66-L66</f>
        <v>3923</v>
      </c>
      <c r="Q66" s="82">
        <f>+Q54+Q58</f>
        <v>4022</v>
      </c>
      <c r="R66" s="82">
        <f>+R54+R58-Q66</f>
        <v>3060</v>
      </c>
      <c r="S66" s="82">
        <f>+S54+S58-R66-Q66</f>
        <v>2754</v>
      </c>
      <c r="T66" s="82">
        <f>+T54+T58-S66-R66-Q66</f>
        <v>2108</v>
      </c>
      <c r="V66" s="82">
        <f>+V54+V58</f>
        <v>4080</v>
      </c>
      <c r="W66" s="82">
        <f>+W54+W58-V66</f>
        <v>4034</v>
      </c>
      <c r="X66" s="82">
        <f>+X54+X58-W66-V66</f>
        <v>3374</v>
      </c>
      <c r="Y66" s="82">
        <f>+Y54+Y58-X66-W66-V66</f>
        <v>3528</v>
      </c>
      <c r="Z66" s="82">
        <f>+Z54+Z58-Y66-X66-W66</f>
        <v>8872</v>
      </c>
      <c r="AB66" s="82">
        <f>+AB54+AB58</f>
        <v>4057</v>
      </c>
      <c r="AC66" s="82">
        <f>+AC54+AC58-AB66</f>
        <v>3945</v>
      </c>
      <c r="AD66" s="82">
        <f>+AD54+AD58-AC66-AB66</f>
        <v>3036</v>
      </c>
      <c r="AE66" s="82">
        <f>+AE54+AE58-AD66-AC66-AB66</f>
        <v>3170</v>
      </c>
      <c r="AG66" s="82">
        <f>+AG54+AG58</f>
        <v>4396</v>
      </c>
      <c r="AH66" s="82">
        <f>+AH54+AH58-AG66</f>
        <v>3936</v>
      </c>
      <c r="AI66" s="82">
        <f>+AI54+AI58-AH66-AG66</f>
        <v>3085</v>
      </c>
      <c r="AJ66" s="82">
        <f>+AJ54+AJ58-AI66-AH66-AG66</f>
        <v>3093</v>
      </c>
      <c r="AL66" s="82">
        <f>+AL54+AL58</f>
        <v>4307.3649999999998</v>
      </c>
      <c r="AM66" s="82">
        <f>+AM54+AM58-AL66</f>
        <v>3942.2110000000011</v>
      </c>
      <c r="AN66" s="82">
        <f>+AN54+AN58-AM66-AL66</f>
        <v>3173.16</v>
      </c>
      <c r="AO66" s="82">
        <f>+AO54+AO58-AN66-AM66-AL66</f>
        <v>3353.6419999999998</v>
      </c>
      <c r="AQ66" s="82">
        <f>+AQ54+AQ58</f>
        <v>3862.9250000000002</v>
      </c>
      <c r="AR66" s="82">
        <f>+AR54+AR58-AQ66</f>
        <v>4105.174</v>
      </c>
      <c r="AS66" s="82">
        <f>+AS54+AS58-AR66-AQ66</f>
        <v>3117.3560000000016</v>
      </c>
      <c r="AT66" s="82">
        <f>+AT54+AT58-AS66-AR66-AQ66</f>
        <v>3490.5449999999983</v>
      </c>
      <c r="AU66" s="241"/>
      <c r="AV66" s="82">
        <f>+AV54+AV58</f>
        <v>-1803.6599999999999</v>
      </c>
      <c r="AW66" s="82">
        <f>+AW54+AW58-AV66</f>
        <v>8834.2960000000003</v>
      </c>
      <c r="AX66" s="82">
        <f>+AX54+AX58-AW66-AV66</f>
        <v>2674.5619999999999</v>
      </c>
      <c r="AY66" s="82">
        <f>+AY54+AY58-AX66-AW66-AV66</f>
        <v>2967.8019999999997</v>
      </c>
    </row>
    <row r="67" spans="1:51">
      <c r="B67" s="242">
        <f>+B65+B66</f>
        <v>6460</v>
      </c>
      <c r="C67" s="242">
        <f>+C65+C66</f>
        <v>-6460</v>
      </c>
      <c r="D67" s="242">
        <f>+D65+D66</f>
        <v>0</v>
      </c>
      <c r="E67" s="242">
        <f>+E65+E66</f>
        <v>0</v>
      </c>
      <c r="G67" s="242">
        <f>+G65+G66</f>
        <v>6429</v>
      </c>
      <c r="H67" s="242">
        <f>+H65+H66</f>
        <v>6373</v>
      </c>
      <c r="I67" s="242">
        <f>+I65+I66</f>
        <v>6285.68</v>
      </c>
      <c r="J67" s="242">
        <f>+J65+J66</f>
        <v>6915.32</v>
      </c>
      <c r="L67" s="242">
        <f>+L65+L66</f>
        <v>4939</v>
      </c>
      <c r="M67" s="242">
        <f>+M65+M66</f>
        <v>5973</v>
      </c>
      <c r="N67" s="242">
        <f>+N65+N66</f>
        <v>6063</v>
      </c>
      <c r="O67" s="242">
        <f>+O65+O66</f>
        <v>6476</v>
      </c>
      <c r="Q67" s="242">
        <f>+Q65+Q66</f>
        <v>7696</v>
      </c>
      <c r="R67" s="242">
        <f>+R65+R66</f>
        <v>6412</v>
      </c>
      <c r="S67" s="242">
        <f>+S65+S66</f>
        <v>4749</v>
      </c>
      <c r="T67" s="242">
        <f>+T65+T66</f>
        <v>3350</v>
      </c>
      <c r="V67" s="242">
        <f>+V65+V66</f>
        <v>7057</v>
      </c>
      <c r="W67" s="242">
        <f>+W65+W66</f>
        <v>7902</v>
      </c>
      <c r="X67" s="242">
        <f>+X65+X66</f>
        <v>7054</v>
      </c>
      <c r="Y67" s="242">
        <f>+Y65+Y66</f>
        <v>6639</v>
      </c>
      <c r="Z67" s="242">
        <f>+Z65+Z66</f>
        <v>15135</v>
      </c>
      <c r="AB67" s="242">
        <f>+AB65+AB66</f>
        <v>6818</v>
      </c>
      <c r="AC67" s="242">
        <f>+AC65+AC66</f>
        <v>7354</v>
      </c>
      <c r="AD67" s="242">
        <f>+AD65+AD66</f>
        <v>6199</v>
      </c>
      <c r="AE67" s="242">
        <f>+AE65+AE66</f>
        <v>6118</v>
      </c>
      <c r="AG67" s="242">
        <f>+AG65+AG66</f>
        <v>6898</v>
      </c>
      <c r="AH67" s="242">
        <f>+AH65+AH66</f>
        <v>7000</v>
      </c>
      <c r="AI67" s="242">
        <f>+AI65+AI66</f>
        <v>6504</v>
      </c>
      <c r="AJ67" s="242">
        <f>+AJ65+AJ66</f>
        <v>6029</v>
      </c>
      <c r="AL67" s="242">
        <f>+AL65+AL66</f>
        <v>6677.4560000000001</v>
      </c>
      <c r="AM67" s="242">
        <f>+AM65+AM66</f>
        <v>6412.4630000000016</v>
      </c>
      <c r="AN67" s="242">
        <f>+AN65+AN66</f>
        <v>6087.4179999999997</v>
      </c>
      <c r="AO67" s="242">
        <f>+AO65+AO66</f>
        <v>5716.3799999999992</v>
      </c>
      <c r="AQ67" s="242">
        <f>+AQ65+AQ66</f>
        <v>6900.5240000000003</v>
      </c>
      <c r="AR67" s="242">
        <f>+AR65+AR66</f>
        <v>7470.3139999999994</v>
      </c>
      <c r="AS67" s="242">
        <f>+AS65+AS66</f>
        <v>6726.0980000000018</v>
      </c>
      <c r="AT67" s="242">
        <f>+AT65+AT66</f>
        <v>6581.0639999999985</v>
      </c>
      <c r="AU67" s="241"/>
      <c r="AV67" s="242">
        <f>+AV65+AV66</f>
        <v>974.32799999999997</v>
      </c>
      <c r="AW67" s="242">
        <f>+AW65+AW66</f>
        <v>12779.086000000001</v>
      </c>
      <c r="AX67" s="242">
        <f>+AX65+AX66</f>
        <v>6860.5259999999998</v>
      </c>
      <c r="AY67" s="242">
        <f>+AY65+AY66</f>
        <v>6205.0599999999995</v>
      </c>
    </row>
    <row r="68" spans="1:51">
      <c r="AT68"/>
    </row>
    <row r="69" spans="1:51">
      <c r="A69" s="25" t="s">
        <v>556</v>
      </c>
      <c r="AQ69" s="82">
        <f>+AQ16+AQ17</f>
        <v>729</v>
      </c>
      <c r="AR69" s="82">
        <f>+AR16+AR17-AQ69</f>
        <v>750</v>
      </c>
      <c r="AS69" s="82">
        <f>+AS16+AS17-AR69-AQ69</f>
        <v>911</v>
      </c>
      <c r="AT69" s="82">
        <f>+AT16+AT17-AS69-AR69-AQ69</f>
        <v>825</v>
      </c>
    </row>
    <row r="70" spans="1:51">
      <c r="A70" s="25" t="s">
        <v>557</v>
      </c>
      <c r="AQ70" s="82">
        <f>SUM(AQ18:AQ20)</f>
        <v>469</v>
      </c>
      <c r="AR70" s="82">
        <f>SUM(AR18:AR20)-AQ70</f>
        <v>402</v>
      </c>
      <c r="AS70" s="82">
        <f>SUM(AS18:AS20)-AR70-AQ70</f>
        <v>303</v>
      </c>
      <c r="AT70" s="82">
        <f>SUM(AT18:AT20)-AS70-AR70-AQ70</f>
        <v>261</v>
      </c>
    </row>
    <row r="71" spans="1:51">
      <c r="AQ71" s="242">
        <f>+AQ69+AQ70</f>
        <v>1198</v>
      </c>
      <c r="AR71" s="242">
        <f>+AR69+AR70</f>
        <v>1152</v>
      </c>
      <c r="AS71" s="242">
        <f>+AS69+AS70</f>
        <v>1214</v>
      </c>
      <c r="AT71" s="242">
        <f>+AT69+AT70</f>
        <v>1086</v>
      </c>
    </row>
    <row r="72" spans="1:51">
      <c r="AT72"/>
    </row>
    <row r="73" spans="1:51">
      <c r="A73" s="25" t="s">
        <v>560</v>
      </c>
      <c r="B73" s="82">
        <f t="shared" ref="B73:D74" si="49">+B65-B69</f>
        <v>2229</v>
      </c>
      <c r="C73" s="82">
        <f t="shared" si="49"/>
        <v>-2229</v>
      </c>
      <c r="D73" s="82">
        <f t="shared" si="49"/>
        <v>0</v>
      </c>
      <c r="E73" s="82">
        <f>+E65-E69</f>
        <v>0</v>
      </c>
      <c r="G73" s="82">
        <f t="shared" ref="G73:J74" si="50">+G65-G69</f>
        <v>2591</v>
      </c>
      <c r="H73" s="82">
        <f t="shared" si="50"/>
        <v>2624</v>
      </c>
      <c r="I73" s="82">
        <f t="shared" si="50"/>
        <v>2627.6769999999997</v>
      </c>
      <c r="J73" s="82">
        <f t="shared" si="50"/>
        <v>2516.3230000000003</v>
      </c>
      <c r="L73" s="82">
        <f t="shared" ref="L73:O74" si="51">+L65-L69</f>
        <v>1666</v>
      </c>
      <c r="M73" s="82">
        <f t="shared" si="51"/>
        <v>2475</v>
      </c>
      <c r="N73" s="82">
        <f t="shared" si="51"/>
        <v>2347</v>
      </c>
      <c r="O73" s="82">
        <f t="shared" si="51"/>
        <v>2553</v>
      </c>
      <c r="Q73" s="82">
        <f t="shared" ref="Q73:T74" si="52">+Q65-Q69</f>
        <v>3674</v>
      </c>
      <c r="R73" s="82">
        <f t="shared" si="52"/>
        <v>3352</v>
      </c>
      <c r="S73" s="82">
        <f t="shared" si="52"/>
        <v>1995</v>
      </c>
      <c r="T73" s="82">
        <f t="shared" si="52"/>
        <v>1242</v>
      </c>
      <c r="V73" s="82">
        <f t="shared" ref="V73:Z74" si="53">+V65-V69</f>
        <v>2977</v>
      </c>
      <c r="W73" s="82">
        <f t="shared" si="53"/>
        <v>3868</v>
      </c>
      <c r="X73" s="82">
        <f t="shared" si="53"/>
        <v>3680</v>
      </c>
      <c r="Y73" s="82">
        <f t="shared" si="53"/>
        <v>3111</v>
      </c>
      <c r="Z73" s="82">
        <f t="shared" si="53"/>
        <v>6263</v>
      </c>
      <c r="AB73" s="82">
        <f t="shared" ref="AB73:AE74" si="54">+AB65-AB69</f>
        <v>2761</v>
      </c>
      <c r="AC73" s="82">
        <f t="shared" si="54"/>
        <v>3409</v>
      </c>
      <c r="AD73" s="82">
        <f t="shared" si="54"/>
        <v>3163</v>
      </c>
      <c r="AE73" s="82">
        <f t="shared" si="54"/>
        <v>2948</v>
      </c>
      <c r="AG73" s="82">
        <f t="shared" ref="AG73:AJ74" si="55">+AG65-AG69</f>
        <v>2502</v>
      </c>
      <c r="AH73" s="82">
        <f t="shared" si="55"/>
        <v>3064</v>
      </c>
      <c r="AI73" s="82">
        <f t="shared" si="55"/>
        <v>3419</v>
      </c>
      <c r="AJ73" s="82">
        <f t="shared" si="55"/>
        <v>2936</v>
      </c>
      <c r="AL73" s="82">
        <f t="shared" ref="AL73:AO74" si="56">+AL65-AL69</f>
        <v>2370.0909999999999</v>
      </c>
      <c r="AM73" s="82">
        <f t="shared" si="56"/>
        <v>2470.252</v>
      </c>
      <c r="AN73" s="82">
        <f t="shared" si="56"/>
        <v>2914.2580000000003</v>
      </c>
      <c r="AO73" s="82">
        <f t="shared" si="56"/>
        <v>2362.7379999999998</v>
      </c>
      <c r="AQ73" s="82">
        <f t="shared" ref="AQ73:AT74" si="57">+AQ65-AQ69</f>
        <v>2308.5990000000002</v>
      </c>
      <c r="AR73" s="82">
        <f t="shared" si="57"/>
        <v>2615.1399999999994</v>
      </c>
      <c r="AS73" s="82">
        <f t="shared" si="57"/>
        <v>2697.7420000000002</v>
      </c>
      <c r="AT73" s="82">
        <f t="shared" si="57"/>
        <v>2265.5190000000002</v>
      </c>
    </row>
    <row r="74" spans="1:51">
      <c r="A74" s="25" t="s">
        <v>561</v>
      </c>
      <c r="B74" s="82">
        <f t="shared" si="49"/>
        <v>4231</v>
      </c>
      <c r="C74" s="82">
        <f t="shared" si="49"/>
        <v>-4231</v>
      </c>
      <c r="D74" s="82">
        <f t="shared" si="49"/>
        <v>0</v>
      </c>
      <c r="E74" s="82">
        <f>+E66-E70</f>
        <v>0</v>
      </c>
      <c r="G74" s="82">
        <f t="shared" si="50"/>
        <v>3838</v>
      </c>
      <c r="H74" s="82">
        <f t="shared" si="50"/>
        <v>3749</v>
      </c>
      <c r="I74" s="82">
        <f t="shared" si="50"/>
        <v>3658.0030000000006</v>
      </c>
      <c r="J74" s="82">
        <f t="shared" si="50"/>
        <v>4398.9969999999994</v>
      </c>
      <c r="L74" s="82">
        <f t="shared" si="51"/>
        <v>3273</v>
      </c>
      <c r="M74" s="82">
        <f t="shared" si="51"/>
        <v>3498</v>
      </c>
      <c r="N74" s="82">
        <f t="shared" si="51"/>
        <v>3716</v>
      </c>
      <c r="O74" s="82">
        <f t="shared" si="51"/>
        <v>3923</v>
      </c>
      <c r="Q74" s="82">
        <f t="shared" si="52"/>
        <v>4022</v>
      </c>
      <c r="R74" s="82">
        <f t="shared" si="52"/>
        <v>3060</v>
      </c>
      <c r="S74" s="82">
        <f t="shared" si="52"/>
        <v>2754</v>
      </c>
      <c r="T74" s="82">
        <f t="shared" si="52"/>
        <v>2108</v>
      </c>
      <c r="V74" s="82">
        <f t="shared" si="53"/>
        <v>4080</v>
      </c>
      <c r="W74" s="82">
        <f t="shared" si="53"/>
        <v>4034</v>
      </c>
      <c r="X74" s="82">
        <f t="shared" si="53"/>
        <v>3374</v>
      </c>
      <c r="Y74" s="82">
        <f t="shared" si="53"/>
        <v>3528</v>
      </c>
      <c r="Z74" s="82">
        <f t="shared" si="53"/>
        <v>8872</v>
      </c>
      <c r="AB74" s="82">
        <f t="shared" si="54"/>
        <v>4057</v>
      </c>
      <c r="AC74" s="82">
        <f t="shared" si="54"/>
        <v>3945</v>
      </c>
      <c r="AD74" s="82">
        <f t="shared" si="54"/>
        <v>3036</v>
      </c>
      <c r="AE74" s="82">
        <f t="shared" si="54"/>
        <v>3170</v>
      </c>
      <c r="AG74" s="82">
        <f t="shared" si="55"/>
        <v>4396</v>
      </c>
      <c r="AH74" s="82">
        <f t="shared" si="55"/>
        <v>3936</v>
      </c>
      <c r="AI74" s="82">
        <f t="shared" si="55"/>
        <v>3085</v>
      </c>
      <c r="AJ74" s="82">
        <f t="shared" si="55"/>
        <v>3093</v>
      </c>
      <c r="AL74" s="82">
        <f t="shared" si="56"/>
        <v>4307.3649999999998</v>
      </c>
      <c r="AM74" s="82">
        <f t="shared" si="56"/>
        <v>3942.2110000000011</v>
      </c>
      <c r="AN74" s="82">
        <f t="shared" si="56"/>
        <v>3173.16</v>
      </c>
      <c r="AO74" s="82">
        <f t="shared" si="56"/>
        <v>3353.6419999999998</v>
      </c>
      <c r="AQ74" s="82">
        <f t="shared" si="57"/>
        <v>3393.9250000000002</v>
      </c>
      <c r="AR74" s="82">
        <f t="shared" si="57"/>
        <v>3703.174</v>
      </c>
      <c r="AS74" s="82">
        <f t="shared" si="57"/>
        <v>2814.3560000000016</v>
      </c>
      <c r="AT74" s="82">
        <f t="shared" si="57"/>
        <v>3229.5449999999983</v>
      </c>
    </row>
    <row r="75" spans="1:51">
      <c r="B75" s="242">
        <f>SUM(B73:B74)</f>
        <v>6460</v>
      </c>
      <c r="C75" s="242">
        <f>SUM(C73:C74)</f>
        <v>-6460</v>
      </c>
      <c r="D75" s="242">
        <f>SUM(D73:D74)</f>
        <v>0</v>
      </c>
      <c r="E75" s="242">
        <f>SUM(E73:E74)</f>
        <v>0</v>
      </c>
      <c r="G75" s="242">
        <f>SUM(G73:G74)</f>
        <v>6429</v>
      </c>
      <c r="H75" s="242">
        <f>SUM(H73:H74)</f>
        <v>6373</v>
      </c>
      <c r="I75" s="242">
        <f>SUM(I73:I74)</f>
        <v>6285.68</v>
      </c>
      <c r="J75" s="242">
        <f>SUM(J73:J74)</f>
        <v>6915.32</v>
      </c>
      <c r="L75" s="242">
        <f>SUM(L73:L74)</f>
        <v>4939</v>
      </c>
      <c r="M75" s="242">
        <f>SUM(M73:M74)</f>
        <v>5973</v>
      </c>
      <c r="N75" s="242">
        <f>SUM(N73:N74)</f>
        <v>6063</v>
      </c>
      <c r="O75" s="242">
        <f>SUM(O73:O74)</f>
        <v>6476</v>
      </c>
      <c r="Q75" s="242">
        <f>SUM(Q73:Q74)</f>
        <v>7696</v>
      </c>
      <c r="R75" s="242">
        <f>SUM(R73:R74)</f>
        <v>6412</v>
      </c>
      <c r="S75" s="242">
        <f>SUM(S73:S74)</f>
        <v>4749</v>
      </c>
      <c r="T75" s="242">
        <f>SUM(T73:T74)</f>
        <v>3350</v>
      </c>
      <c r="V75" s="242">
        <f>SUM(V73:V74)</f>
        <v>7057</v>
      </c>
      <c r="W75" s="242">
        <f>SUM(W73:W74)</f>
        <v>7902</v>
      </c>
      <c r="X75" s="242">
        <f>SUM(X73:X74)</f>
        <v>7054</v>
      </c>
      <c r="Y75" s="242">
        <f>SUM(Y73:Y74)</f>
        <v>6639</v>
      </c>
      <c r="Z75" s="242">
        <f>SUM(Z73:Z74)</f>
        <v>15135</v>
      </c>
      <c r="AB75" s="242">
        <f>SUM(AB73:AB74)</f>
        <v>6818</v>
      </c>
      <c r="AC75" s="242">
        <f>SUM(AC73:AC74)</f>
        <v>7354</v>
      </c>
      <c r="AD75" s="242">
        <f>SUM(AD73:AD74)</f>
        <v>6199</v>
      </c>
      <c r="AE75" s="242">
        <f>SUM(AE73:AE74)</f>
        <v>6118</v>
      </c>
      <c r="AG75" s="242">
        <f>SUM(AG73:AG74)</f>
        <v>6898</v>
      </c>
      <c r="AH75" s="242">
        <f>SUM(AH73:AH74)</f>
        <v>7000</v>
      </c>
      <c r="AI75" s="242">
        <f>SUM(AI73:AI74)</f>
        <v>6504</v>
      </c>
      <c r="AJ75" s="242">
        <f>SUM(AJ73:AJ74)</f>
        <v>6029</v>
      </c>
      <c r="AL75" s="242">
        <f>SUM(AL73:AL74)</f>
        <v>6677.4560000000001</v>
      </c>
      <c r="AM75" s="242">
        <f>SUM(AM73:AM74)</f>
        <v>6412.4630000000016</v>
      </c>
      <c r="AN75" s="242">
        <f>SUM(AN73:AN74)</f>
        <v>6087.4179999999997</v>
      </c>
      <c r="AO75" s="242">
        <f>SUM(AO73:AO74)</f>
        <v>5716.3799999999992</v>
      </c>
      <c r="AQ75" s="242">
        <f>SUM(AQ73:AQ74)</f>
        <v>5702.5240000000003</v>
      </c>
      <c r="AR75" s="242">
        <f>SUM(AR73:AR74)</f>
        <v>6318.3139999999994</v>
      </c>
      <c r="AS75" s="242">
        <f>SUM(AS73:AS74)</f>
        <v>5512.0980000000018</v>
      </c>
      <c r="AT75" s="242">
        <f>SUM(AT73:AT74)</f>
        <v>5495.0639999999985</v>
      </c>
      <c r="AU75" s="241"/>
      <c r="AW75" s="82"/>
      <c r="AX75" s="82"/>
      <c r="AY75" s="82"/>
    </row>
    <row r="76" spans="1:51">
      <c r="C76" s="82"/>
      <c r="D76" s="82"/>
      <c r="E76" s="82"/>
      <c r="H76" s="82"/>
      <c r="I76" s="82"/>
      <c r="J76" s="82"/>
      <c r="M76" s="82"/>
      <c r="N76" s="82"/>
      <c r="O76" s="82"/>
      <c r="R76" s="82"/>
      <c r="S76" s="82"/>
      <c r="T76" s="82"/>
      <c r="W76" s="82"/>
      <c r="X76" s="82"/>
      <c r="Y76" s="82"/>
      <c r="Z76" s="82"/>
      <c r="AC76" s="82"/>
      <c r="AD76" s="82"/>
      <c r="AE76" s="82"/>
      <c r="AH76" s="82"/>
      <c r="AI76" s="82"/>
      <c r="AJ76" s="82"/>
      <c r="AM76" s="82"/>
      <c r="AN76" s="82"/>
      <c r="AO76" s="82"/>
      <c r="AR76" s="82"/>
      <c r="AS76" s="82"/>
      <c r="AT76" s="82"/>
      <c r="AU76" s="241"/>
      <c r="AW76" s="82"/>
      <c r="AX76" s="82"/>
      <c r="AY76" s="82"/>
    </row>
    <row r="77" spans="1:51">
      <c r="A77" s="25" t="s">
        <v>562</v>
      </c>
      <c r="B77" s="249">
        <f>+B66/B67</f>
        <v>0.65495356037151697</v>
      </c>
      <c r="C77" s="249">
        <f>+C66/C67</f>
        <v>0.65495356037151697</v>
      </c>
      <c r="D77" s="249" t="e">
        <f>+D66/D67</f>
        <v>#DIV/0!</v>
      </c>
      <c r="E77" s="249" t="e">
        <f>+E66/E67</f>
        <v>#DIV/0!</v>
      </c>
      <c r="G77" s="249">
        <f>+G66/G67</f>
        <v>0.59698242339399599</v>
      </c>
      <c r="H77" s="249">
        <f>+H66/H67</f>
        <v>0.58826298446571479</v>
      </c>
      <c r="I77" s="249">
        <f>+I66/I67</f>
        <v>0.58195819704471119</v>
      </c>
      <c r="J77" s="249">
        <f>+J66/J67</f>
        <v>0.63612341872827283</v>
      </c>
      <c r="L77" s="249">
        <f>+L66/L67</f>
        <v>0.66268475399878513</v>
      </c>
      <c r="M77" s="249">
        <f>+M66/M67</f>
        <v>0.58563535911602205</v>
      </c>
      <c r="N77" s="249">
        <f>+N66/N67</f>
        <v>0.61289790532739563</v>
      </c>
      <c r="O77" s="249">
        <f>+O66/O67</f>
        <v>0.605775169857937</v>
      </c>
      <c r="Q77" s="249">
        <f>+Q66/Q67</f>
        <v>0.52260914760914756</v>
      </c>
      <c r="R77" s="249">
        <f>+R66/R67</f>
        <v>0.47723019338739864</v>
      </c>
      <c r="S77" s="249">
        <f>+S66/S67</f>
        <v>0.57991156032849023</v>
      </c>
      <c r="T77" s="249">
        <f>+T66/T67</f>
        <v>0.62925373134328355</v>
      </c>
      <c r="V77" s="249">
        <f>+V66/V67</f>
        <v>0.57814935525010624</v>
      </c>
      <c r="W77" s="249">
        <f>+W66/W67</f>
        <v>0.51050366995697294</v>
      </c>
      <c r="X77" s="249">
        <f>+X66/X67</f>
        <v>0.47831017862205838</v>
      </c>
      <c r="Y77" s="249">
        <f>+Y66/Y67</f>
        <v>0.53140533212833263</v>
      </c>
      <c r="Z77" s="249">
        <f>+Z66/Z67</f>
        <v>0.58619094813346551</v>
      </c>
      <c r="AB77" s="249">
        <f>+AB66/AB67</f>
        <v>0.59504253446758582</v>
      </c>
      <c r="AC77" s="249">
        <f>+AC66/AC67</f>
        <v>0.53644275224367688</v>
      </c>
      <c r="AD77" s="249">
        <f>+AD66/AD67</f>
        <v>0.48975641232456846</v>
      </c>
      <c r="AE77" s="249">
        <f>+AE66/AE67</f>
        <v>0.51814318404707416</v>
      </c>
      <c r="AG77" s="249">
        <f>+AG66/AG67</f>
        <v>0.63728616990432008</v>
      </c>
      <c r="AH77" s="249">
        <f>+AH66/AH67</f>
        <v>0.56228571428571428</v>
      </c>
      <c r="AI77" s="249">
        <f>+AI66/AI67</f>
        <v>0.47432349323493234</v>
      </c>
      <c r="AJ77" s="249">
        <f>+AJ66/AJ67</f>
        <v>0.51302040139326588</v>
      </c>
      <c r="AL77" s="249">
        <f>+AL66/AL67</f>
        <v>0.64506078362777675</v>
      </c>
      <c r="AM77" s="249">
        <f>+AM66/AM67</f>
        <v>0.61477329381861545</v>
      </c>
      <c r="AN77" s="249">
        <f>+AN66/AN67</f>
        <v>0.52126533778360551</v>
      </c>
      <c r="AO77" s="249">
        <f>+AO66/AO67</f>
        <v>0.58667233458937307</v>
      </c>
      <c r="AQ77" s="249">
        <f>+AQ66/AQ67</f>
        <v>0.55980169042235051</v>
      </c>
      <c r="AR77" s="249">
        <f>+AR66/AR67</f>
        <v>0.54953165288634453</v>
      </c>
      <c r="AS77" s="249">
        <f>+AS66/AS67</f>
        <v>0.46347168893465435</v>
      </c>
      <c r="AT77" s="249">
        <f>+AT66/AT67</f>
        <v>0.53039219797892845</v>
      </c>
      <c r="AU77" s="250"/>
      <c r="AV77" s="249">
        <f>+AV66/AV67</f>
        <v>-1.8511835849939651</v>
      </c>
      <c r="AW77" s="249">
        <f>+AW66/AW67</f>
        <v>0.69130890894700914</v>
      </c>
      <c r="AX77" s="249">
        <f>+AX66/AX67</f>
        <v>0.38984795043412124</v>
      </c>
      <c r="AY77" s="249">
        <f>+AY66/AY67</f>
        <v>0.47828739770445411</v>
      </c>
    </row>
    <row r="78" spans="1:51">
      <c r="A78" s="25"/>
      <c r="B78" s="249"/>
      <c r="C78" s="249"/>
      <c r="D78" s="249"/>
      <c r="E78" s="249"/>
      <c r="G78" s="249"/>
      <c r="H78" s="249"/>
      <c r="I78" s="249"/>
      <c r="J78" s="249"/>
      <c r="L78" s="249"/>
      <c r="M78" s="249"/>
      <c r="N78" s="249"/>
      <c r="O78" s="249"/>
      <c r="Q78" s="249"/>
      <c r="R78" s="249"/>
      <c r="S78" s="249"/>
      <c r="T78" s="249"/>
      <c r="V78" s="249"/>
      <c r="W78" s="249"/>
      <c r="X78" s="249"/>
      <c r="Y78" s="249"/>
      <c r="Z78" s="249"/>
      <c r="AB78" s="249"/>
      <c r="AC78" s="249"/>
      <c r="AD78" s="249"/>
      <c r="AE78" s="249"/>
      <c r="AG78" s="249"/>
      <c r="AH78" s="249"/>
      <c r="AI78" s="249"/>
      <c r="AJ78" s="249"/>
      <c r="AL78" s="249"/>
      <c r="AM78" s="249"/>
      <c r="AN78" s="249"/>
      <c r="AO78" s="249"/>
      <c r="AQ78" s="249"/>
      <c r="AR78" s="249"/>
      <c r="AS78" s="249"/>
      <c r="AT78" s="249"/>
      <c r="AU78" s="250"/>
      <c r="AV78" s="249"/>
      <c r="AW78" s="249"/>
      <c r="AX78" s="249"/>
      <c r="AY78" s="249"/>
    </row>
    <row r="79" spans="1:51">
      <c r="A79" s="25" t="s">
        <v>563</v>
      </c>
      <c r="B79" s="339">
        <f>+B74/B75</f>
        <v>0.65495356037151697</v>
      </c>
      <c r="C79" s="339">
        <f>+C74/C75</f>
        <v>0.65495356037151697</v>
      </c>
      <c r="D79" s="339" t="e">
        <f>+D74/D75</f>
        <v>#DIV/0!</v>
      </c>
      <c r="E79" s="339" t="e">
        <f>+E74/E75</f>
        <v>#DIV/0!</v>
      </c>
      <c r="G79" s="339">
        <f>+G74/G75</f>
        <v>0.59698242339399599</v>
      </c>
      <c r="H79" s="339">
        <f>+H74/H75</f>
        <v>0.58826298446571479</v>
      </c>
      <c r="I79" s="339">
        <f>+I74/I75</f>
        <v>0.58195819704471119</v>
      </c>
      <c r="J79" s="339">
        <f>+J74/J75</f>
        <v>0.63612341872827283</v>
      </c>
      <c r="L79" s="339">
        <f>+L74/L75</f>
        <v>0.66268475399878513</v>
      </c>
      <c r="M79" s="339">
        <f>+M74/M75</f>
        <v>0.58563535911602205</v>
      </c>
      <c r="N79" s="339">
        <f>+N74/N75</f>
        <v>0.61289790532739563</v>
      </c>
      <c r="O79" s="339">
        <f>+O74/O75</f>
        <v>0.605775169857937</v>
      </c>
      <c r="Q79" s="339">
        <f>+Q74/Q75</f>
        <v>0.52260914760914756</v>
      </c>
      <c r="R79" s="339">
        <f>+R74/R75</f>
        <v>0.47723019338739864</v>
      </c>
      <c r="S79" s="339">
        <f>+S74/S75</f>
        <v>0.57991156032849023</v>
      </c>
      <c r="T79" s="339">
        <f>+T74/T75</f>
        <v>0.62925373134328355</v>
      </c>
      <c r="V79" s="339">
        <f>+V74/V75</f>
        <v>0.57814935525010624</v>
      </c>
      <c r="W79" s="339">
        <f>+W74/W75</f>
        <v>0.51050366995697294</v>
      </c>
      <c r="X79" s="339">
        <f>+X74/X75</f>
        <v>0.47831017862205838</v>
      </c>
      <c r="Y79" s="339">
        <f>+Y74/Y75</f>
        <v>0.53140533212833263</v>
      </c>
      <c r="Z79" s="339">
        <f>+Z74/Z75</f>
        <v>0.58619094813346551</v>
      </c>
      <c r="AB79" s="339">
        <f>+AB74/AB75</f>
        <v>0.59504253446758582</v>
      </c>
      <c r="AC79" s="339">
        <f>+AC74/AC75</f>
        <v>0.53644275224367688</v>
      </c>
      <c r="AD79" s="339">
        <f>+AD74/AD75</f>
        <v>0.48975641232456846</v>
      </c>
      <c r="AE79" s="339">
        <f>+AE74/AE75</f>
        <v>0.51814318404707416</v>
      </c>
      <c r="AG79" s="339">
        <f>+AG74/AG75</f>
        <v>0.63728616990432008</v>
      </c>
      <c r="AH79" s="339">
        <f>+AH74/AH75</f>
        <v>0.56228571428571428</v>
      </c>
      <c r="AI79" s="339">
        <f>+AI74/AI75</f>
        <v>0.47432349323493234</v>
      </c>
      <c r="AJ79" s="339">
        <f>+AJ74/AJ75</f>
        <v>0.51302040139326588</v>
      </c>
      <c r="AL79" s="339">
        <f>+AL74/AL75</f>
        <v>0.64506078362777675</v>
      </c>
      <c r="AM79" s="339">
        <f>+AM74/AM75</f>
        <v>0.61477329381861545</v>
      </c>
      <c r="AN79" s="339">
        <f>+AN74/AN75</f>
        <v>0.52126533778360551</v>
      </c>
      <c r="AO79" s="339">
        <f>+AO74/AO75</f>
        <v>0.58667233458937307</v>
      </c>
      <c r="AQ79" s="339">
        <f>+AQ74/AQ75</f>
        <v>0.59516189673204356</v>
      </c>
      <c r="AR79" s="339">
        <f>+AR74/AR75</f>
        <v>0.58610160875195505</v>
      </c>
      <c r="AS79" s="339">
        <f>+AS74/AS75</f>
        <v>0.51057800496290173</v>
      </c>
      <c r="AT79" s="339">
        <f>+AT74/AT75</f>
        <v>0.58771744969667306</v>
      </c>
    </row>
    <row r="83" spans="4:40">
      <c r="D83" s="116"/>
      <c r="I83" s="116"/>
      <c r="N83" s="116"/>
      <c r="S83" s="116"/>
      <c r="X83" s="116"/>
      <c r="AD83" s="116"/>
      <c r="AI83" s="116"/>
      <c r="AN83" s="116"/>
    </row>
  </sheetData>
  <phoneticPr fontId="0" type="noConversion"/>
  <pageMargins left="0.75" right="0.75" top="0.42" bottom="0.52" header="0.3" footer="0.19"/>
  <pageSetup paperSize="9" scale="16" orientation="portrait" blackAndWhite="1" horizontalDpi="1200" verticalDpi="1200" r:id="rId1"/>
  <headerFooter alignWithMargins="0">
    <oddFooter>&amp;L&amp;D&amp;F&amp;A&amp;T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 enableFormatConditionsCalculation="0">
    <tabColor rgb="FFFFC000"/>
    <pageSetUpPr fitToPage="1"/>
  </sheetPr>
  <dimension ref="A1:HC75"/>
  <sheetViews>
    <sheetView workbookViewId="0">
      <pane xSplit="1" ySplit="1" topLeftCell="B19" activePane="bottomRight" state="frozen"/>
      <selection pane="topRight"/>
      <selection pane="bottomLeft"/>
      <selection pane="bottomRight"/>
    </sheetView>
  </sheetViews>
  <sheetFormatPr defaultRowHeight="12.75" customHeight="1"/>
  <cols>
    <col min="1" max="1" width="44.42578125" bestFit="1" customWidth="1"/>
    <col min="2" max="7" width="11.7109375" customWidth="1"/>
    <col min="8" max="8" width="15.7109375" customWidth="1"/>
    <col min="9" max="14" width="11.7109375" customWidth="1"/>
    <col min="15" max="15" width="9.140625" customWidth="1"/>
    <col min="16" max="21" width="11.7109375" customWidth="1"/>
    <col min="22" max="22" width="9.140625" customWidth="1"/>
    <col min="23" max="28" width="11.7109375" customWidth="1"/>
    <col min="30" max="35" width="11.7109375" customWidth="1"/>
    <col min="37" max="42" width="11.7109375" customWidth="1"/>
    <col min="44" max="49" width="11.7109375" customWidth="1"/>
    <col min="51" max="56" width="11.7109375" customWidth="1"/>
    <col min="58" max="63" width="11.7109375" customWidth="1"/>
    <col min="65" max="70" width="11.7109375" customWidth="1"/>
    <col min="72" max="77" width="11.7109375" customWidth="1"/>
    <col min="79" max="84" width="11.7109375" customWidth="1"/>
    <col min="86" max="91" width="11.7109375" customWidth="1"/>
    <col min="93" max="98" width="11.7109375" customWidth="1"/>
    <col min="100" max="105" width="11.7109375" customWidth="1"/>
    <col min="107" max="112" width="11.7109375" customWidth="1"/>
    <col min="114" max="119" width="11.7109375" customWidth="1"/>
    <col min="121" max="126" width="11.7109375" customWidth="1"/>
    <col min="128" max="133" width="11.7109375" customWidth="1"/>
    <col min="135" max="140" width="11.7109375" customWidth="1"/>
    <col min="142" max="147" width="11.7109375" customWidth="1"/>
    <col min="149" max="154" width="11.7109375" customWidth="1"/>
    <col min="156" max="161" width="11.7109375" customWidth="1"/>
    <col min="163" max="168" width="11.7109375" customWidth="1"/>
    <col min="170" max="175" width="11.7109375" customWidth="1"/>
    <col min="177" max="182" width="11.7109375" customWidth="1"/>
    <col min="184" max="189" width="11.7109375" customWidth="1"/>
    <col min="191" max="196" width="11.7109375" customWidth="1"/>
    <col min="198" max="203" width="11.7109375" customWidth="1"/>
    <col min="205" max="210" width="11.7109375" customWidth="1"/>
  </cols>
  <sheetData>
    <row r="1" spans="1:211" ht="12.75" customHeight="1">
      <c r="B1" s="50" t="str">
        <f>"Apr 2011" &amp;" - " &amp; TEXT('ANSC-TB'!$F$5,"mmm-yy")</f>
        <v>Apr 2011 - Jun-11</v>
      </c>
      <c r="C1" s="476"/>
      <c r="I1" s="50" t="s">
        <v>2628</v>
      </c>
      <c r="J1" s="476"/>
      <c r="P1" s="50" t="s">
        <v>2500</v>
      </c>
      <c r="Q1" s="476"/>
      <c r="W1" s="50" t="s">
        <v>2491</v>
      </c>
      <c r="X1" s="476"/>
      <c r="AD1" s="25" t="s">
        <v>825</v>
      </c>
      <c r="AK1" s="25" t="s">
        <v>821</v>
      </c>
      <c r="AR1" s="25" t="s">
        <v>815</v>
      </c>
      <c r="AY1" s="25" t="s">
        <v>811</v>
      </c>
      <c r="BF1" s="25" t="s">
        <v>792</v>
      </c>
      <c r="BM1" s="25" t="s">
        <v>787</v>
      </c>
      <c r="BT1" s="25" t="s">
        <v>782</v>
      </c>
      <c r="CA1" s="25" t="s">
        <v>774</v>
      </c>
      <c r="CH1" s="25" t="s">
        <v>739</v>
      </c>
      <c r="CO1" s="25" t="s">
        <v>726</v>
      </c>
      <c r="CV1" s="25" t="s">
        <v>693</v>
      </c>
      <c r="DC1" s="25" t="s">
        <v>692</v>
      </c>
      <c r="DJ1" s="25" t="s">
        <v>715</v>
      </c>
      <c r="DQ1" s="25" t="s">
        <v>690</v>
      </c>
      <c r="DX1" s="25" t="s">
        <v>655</v>
      </c>
      <c r="EE1" s="25" t="s">
        <v>654</v>
      </c>
      <c r="EL1" s="25" t="s">
        <v>681</v>
      </c>
      <c r="ES1" s="25" t="s">
        <v>646</v>
      </c>
      <c r="EZ1" s="25" t="s">
        <v>618</v>
      </c>
      <c r="FG1" s="25" t="s">
        <v>617</v>
      </c>
      <c r="FN1" s="25" t="s">
        <v>628</v>
      </c>
      <c r="FU1" s="25" t="s">
        <v>615</v>
      </c>
      <c r="GB1" s="25" t="s">
        <v>484</v>
      </c>
      <c r="GI1" s="25" t="s">
        <v>580</v>
      </c>
      <c r="GP1" s="25" t="s">
        <v>482</v>
      </c>
      <c r="GW1" s="25" t="s">
        <v>481</v>
      </c>
    </row>
    <row r="2" spans="1:211" ht="12.75" customHeight="1">
      <c r="B2" s="248" t="s">
        <v>431</v>
      </c>
      <c r="C2" s="248" t="s">
        <v>253</v>
      </c>
      <c r="D2" s="268" t="s">
        <v>420</v>
      </c>
      <c r="E2" s="248" t="s">
        <v>311</v>
      </c>
      <c r="F2" s="248" t="s">
        <v>312</v>
      </c>
      <c r="G2" s="247" t="s">
        <v>381</v>
      </c>
      <c r="I2" s="248" t="s">
        <v>431</v>
      </c>
      <c r="J2" s="248" t="s">
        <v>253</v>
      </c>
      <c r="K2" s="268" t="s">
        <v>420</v>
      </c>
      <c r="L2" s="248" t="s">
        <v>311</v>
      </c>
      <c r="M2" s="248" t="s">
        <v>312</v>
      </c>
      <c r="N2" s="247" t="s">
        <v>381</v>
      </c>
      <c r="P2" s="248" t="s">
        <v>431</v>
      </c>
      <c r="Q2" s="248" t="s">
        <v>253</v>
      </c>
      <c r="R2" s="268" t="s">
        <v>420</v>
      </c>
      <c r="S2" s="248" t="s">
        <v>311</v>
      </c>
      <c r="T2" s="248" t="s">
        <v>312</v>
      </c>
      <c r="U2" s="247" t="s">
        <v>381</v>
      </c>
      <c r="W2" s="248" t="s">
        <v>431</v>
      </c>
      <c r="X2" s="248" t="s">
        <v>253</v>
      </c>
      <c r="Y2" s="268" t="s">
        <v>420</v>
      </c>
      <c r="Z2" s="248" t="s">
        <v>311</v>
      </c>
      <c r="AA2" s="248" t="s">
        <v>312</v>
      </c>
      <c r="AB2" s="247" t="s">
        <v>381</v>
      </c>
      <c r="AC2" s="247"/>
      <c r="AD2" s="248" t="s">
        <v>431</v>
      </c>
      <c r="AE2" s="248" t="s">
        <v>253</v>
      </c>
      <c r="AF2" s="268" t="s">
        <v>420</v>
      </c>
      <c r="AG2" s="248" t="s">
        <v>311</v>
      </c>
      <c r="AH2" s="248" t="s">
        <v>312</v>
      </c>
      <c r="AI2" s="247" t="s">
        <v>381</v>
      </c>
      <c r="AJ2" s="247"/>
      <c r="AK2" s="248" t="s">
        <v>431</v>
      </c>
      <c r="AL2" s="248" t="s">
        <v>253</v>
      </c>
      <c r="AM2" s="268" t="s">
        <v>420</v>
      </c>
      <c r="AN2" s="248" t="s">
        <v>311</v>
      </c>
      <c r="AO2" s="248" t="s">
        <v>312</v>
      </c>
      <c r="AP2" s="247" t="s">
        <v>381</v>
      </c>
      <c r="AQ2" s="247"/>
      <c r="AR2" s="248" t="s">
        <v>431</v>
      </c>
      <c r="AS2" s="248" t="s">
        <v>253</v>
      </c>
      <c r="AT2" s="268" t="s">
        <v>420</v>
      </c>
      <c r="AU2" s="248" t="s">
        <v>311</v>
      </c>
      <c r="AV2" s="248" t="s">
        <v>312</v>
      </c>
      <c r="AW2" s="247" t="s">
        <v>381</v>
      </c>
      <c r="AX2" s="247"/>
      <c r="AY2" s="248" t="s">
        <v>431</v>
      </c>
      <c r="AZ2" s="248" t="s">
        <v>253</v>
      </c>
      <c r="BA2" s="268" t="s">
        <v>420</v>
      </c>
      <c r="BB2" s="248" t="s">
        <v>311</v>
      </c>
      <c r="BC2" s="248" t="s">
        <v>312</v>
      </c>
      <c r="BD2" s="247" t="s">
        <v>381</v>
      </c>
      <c r="BE2" s="247"/>
      <c r="BF2" s="248" t="s">
        <v>431</v>
      </c>
      <c r="BG2" s="248" t="s">
        <v>253</v>
      </c>
      <c r="BH2" s="268" t="s">
        <v>420</v>
      </c>
      <c r="BI2" s="248" t="s">
        <v>311</v>
      </c>
      <c r="BJ2" s="248" t="s">
        <v>312</v>
      </c>
      <c r="BK2" s="247" t="s">
        <v>381</v>
      </c>
      <c r="BL2" s="247"/>
      <c r="BM2" s="248" t="s">
        <v>431</v>
      </c>
      <c r="BN2" s="248" t="s">
        <v>253</v>
      </c>
      <c r="BO2" s="268" t="s">
        <v>420</v>
      </c>
      <c r="BP2" s="248" t="s">
        <v>311</v>
      </c>
      <c r="BQ2" s="248" t="s">
        <v>312</v>
      </c>
      <c r="BR2" s="247" t="s">
        <v>381</v>
      </c>
      <c r="BS2" s="247"/>
      <c r="BT2" s="248" t="s">
        <v>431</v>
      </c>
      <c r="BU2" s="248" t="s">
        <v>253</v>
      </c>
      <c r="BV2" s="268" t="s">
        <v>420</v>
      </c>
      <c r="BW2" s="248" t="s">
        <v>311</v>
      </c>
      <c r="BX2" s="248" t="s">
        <v>312</v>
      </c>
      <c r="BY2" s="247" t="s">
        <v>381</v>
      </c>
      <c r="BZ2" s="247"/>
      <c r="CA2" s="248" t="s">
        <v>431</v>
      </c>
      <c r="CB2" s="248" t="s">
        <v>253</v>
      </c>
      <c r="CC2" s="268" t="s">
        <v>420</v>
      </c>
      <c r="CD2" s="248" t="s">
        <v>311</v>
      </c>
      <c r="CE2" s="248" t="s">
        <v>312</v>
      </c>
      <c r="CF2" s="247" t="s">
        <v>381</v>
      </c>
      <c r="CG2" s="247"/>
      <c r="CH2" s="248" t="s">
        <v>431</v>
      </c>
      <c r="CI2" s="248" t="s">
        <v>253</v>
      </c>
      <c r="CJ2" s="268" t="s">
        <v>420</v>
      </c>
      <c r="CK2" s="248" t="s">
        <v>311</v>
      </c>
      <c r="CL2" s="248" t="s">
        <v>312</v>
      </c>
      <c r="CM2" s="247" t="s">
        <v>381</v>
      </c>
      <c r="CN2" s="247"/>
      <c r="CO2" s="248" t="s">
        <v>431</v>
      </c>
      <c r="CP2" s="248" t="s">
        <v>253</v>
      </c>
      <c r="CQ2" s="268" t="s">
        <v>420</v>
      </c>
      <c r="CR2" s="248" t="s">
        <v>311</v>
      </c>
      <c r="CS2" s="248" t="s">
        <v>312</v>
      </c>
      <c r="CT2" s="247" t="s">
        <v>381</v>
      </c>
      <c r="CU2" s="247"/>
      <c r="CV2" s="248" t="s">
        <v>431</v>
      </c>
      <c r="CW2" s="248" t="s">
        <v>253</v>
      </c>
      <c r="CX2" s="268" t="s">
        <v>420</v>
      </c>
      <c r="CY2" s="248" t="s">
        <v>311</v>
      </c>
      <c r="CZ2" s="248" t="s">
        <v>312</v>
      </c>
      <c r="DA2" s="247" t="s">
        <v>381</v>
      </c>
      <c r="DB2" s="247"/>
      <c r="DC2" s="248" t="s">
        <v>431</v>
      </c>
      <c r="DD2" s="248" t="s">
        <v>253</v>
      </c>
      <c r="DE2" s="268" t="s">
        <v>420</v>
      </c>
      <c r="DF2" s="248" t="s">
        <v>311</v>
      </c>
      <c r="DG2" s="248" t="s">
        <v>312</v>
      </c>
      <c r="DH2" s="247" t="s">
        <v>381</v>
      </c>
      <c r="DI2" s="247"/>
      <c r="DJ2" s="248" t="s">
        <v>431</v>
      </c>
      <c r="DK2" s="248" t="s">
        <v>253</v>
      </c>
      <c r="DL2" s="268" t="s">
        <v>420</v>
      </c>
      <c r="DM2" s="248" t="s">
        <v>311</v>
      </c>
      <c r="DN2" s="248" t="s">
        <v>312</v>
      </c>
      <c r="DO2" s="247" t="s">
        <v>381</v>
      </c>
      <c r="DP2" s="247"/>
      <c r="DQ2" s="248" t="s">
        <v>431</v>
      </c>
      <c r="DR2" s="248" t="s">
        <v>253</v>
      </c>
      <c r="DS2" s="268" t="s">
        <v>420</v>
      </c>
      <c r="DT2" s="248" t="s">
        <v>311</v>
      </c>
      <c r="DU2" s="248" t="s">
        <v>312</v>
      </c>
      <c r="DV2" s="247" t="s">
        <v>381</v>
      </c>
      <c r="DW2" s="247"/>
      <c r="DX2" s="248" t="s">
        <v>431</v>
      </c>
      <c r="DY2" s="248" t="s">
        <v>253</v>
      </c>
      <c r="DZ2" s="268" t="s">
        <v>420</v>
      </c>
      <c r="EA2" s="248" t="s">
        <v>311</v>
      </c>
      <c r="EB2" s="248" t="s">
        <v>312</v>
      </c>
      <c r="EC2" s="247" t="s">
        <v>381</v>
      </c>
      <c r="ED2" s="247"/>
      <c r="EE2" s="248" t="s">
        <v>431</v>
      </c>
      <c r="EF2" s="248" t="s">
        <v>253</v>
      </c>
      <c r="EG2" s="268" t="s">
        <v>420</v>
      </c>
      <c r="EH2" s="248" t="s">
        <v>311</v>
      </c>
      <c r="EI2" s="248" t="s">
        <v>312</v>
      </c>
      <c r="EJ2" s="247" t="s">
        <v>381</v>
      </c>
      <c r="EK2" s="247"/>
      <c r="EL2" s="248" t="s">
        <v>431</v>
      </c>
      <c r="EM2" s="248" t="s">
        <v>253</v>
      </c>
      <c r="EN2" s="268" t="s">
        <v>420</v>
      </c>
      <c r="EO2" s="248" t="s">
        <v>311</v>
      </c>
      <c r="EP2" s="248" t="s">
        <v>312</v>
      </c>
      <c r="EQ2" s="247" t="s">
        <v>381</v>
      </c>
      <c r="ER2" s="247"/>
      <c r="ES2" s="248" t="s">
        <v>431</v>
      </c>
      <c r="ET2" s="248" t="s">
        <v>253</v>
      </c>
      <c r="EU2" s="268" t="s">
        <v>420</v>
      </c>
      <c r="EV2" s="248" t="s">
        <v>311</v>
      </c>
      <c r="EW2" s="248" t="s">
        <v>312</v>
      </c>
      <c r="EX2" s="247" t="s">
        <v>381</v>
      </c>
      <c r="EY2" s="247"/>
      <c r="EZ2" s="248" t="s">
        <v>431</v>
      </c>
      <c r="FA2" s="248" t="s">
        <v>253</v>
      </c>
      <c r="FB2" s="268" t="s">
        <v>420</v>
      </c>
      <c r="FC2" s="248" t="s">
        <v>311</v>
      </c>
      <c r="FD2" s="248" t="s">
        <v>312</v>
      </c>
      <c r="FE2" s="247" t="s">
        <v>381</v>
      </c>
      <c r="FF2" s="247"/>
      <c r="FG2" s="248" t="s">
        <v>431</v>
      </c>
      <c r="FH2" s="248" t="s">
        <v>253</v>
      </c>
      <c r="FI2" s="268" t="s">
        <v>420</v>
      </c>
      <c r="FJ2" s="248" t="s">
        <v>311</v>
      </c>
      <c r="FK2" s="248" t="s">
        <v>312</v>
      </c>
      <c r="FL2" s="247" t="s">
        <v>381</v>
      </c>
      <c r="FM2" s="247"/>
      <c r="FN2" s="248" t="s">
        <v>431</v>
      </c>
      <c r="FO2" s="248" t="s">
        <v>253</v>
      </c>
      <c r="FP2" s="268" t="s">
        <v>420</v>
      </c>
      <c r="FQ2" s="248" t="s">
        <v>311</v>
      </c>
      <c r="FR2" s="248" t="s">
        <v>312</v>
      </c>
      <c r="FS2" s="247" t="s">
        <v>381</v>
      </c>
      <c r="FT2" s="247"/>
      <c r="FU2" s="248" t="s">
        <v>431</v>
      </c>
      <c r="FV2" s="248" t="s">
        <v>253</v>
      </c>
      <c r="FW2" s="268" t="s">
        <v>420</v>
      </c>
      <c r="FX2" s="248" t="s">
        <v>311</v>
      </c>
      <c r="FY2" s="248" t="s">
        <v>312</v>
      </c>
      <c r="FZ2" s="247" t="s">
        <v>381</v>
      </c>
      <c r="GB2" s="248" t="s">
        <v>431</v>
      </c>
      <c r="GC2" s="248" t="s">
        <v>253</v>
      </c>
      <c r="GD2" s="268" t="s">
        <v>420</v>
      </c>
      <c r="GE2" s="248" t="s">
        <v>311</v>
      </c>
      <c r="GF2" s="248" t="s">
        <v>312</v>
      </c>
      <c r="GG2" s="247" t="s">
        <v>381</v>
      </c>
      <c r="GI2" s="248" t="s">
        <v>431</v>
      </c>
      <c r="GJ2" s="248" t="s">
        <v>253</v>
      </c>
      <c r="GK2" s="268" t="s">
        <v>420</v>
      </c>
      <c r="GL2" s="248" t="s">
        <v>311</v>
      </c>
      <c r="GM2" s="248" t="s">
        <v>312</v>
      </c>
      <c r="GN2" s="247" t="s">
        <v>381</v>
      </c>
      <c r="GP2" s="248" t="s">
        <v>431</v>
      </c>
      <c r="GQ2" s="248" t="s">
        <v>253</v>
      </c>
      <c r="GR2" s="268" t="s">
        <v>420</v>
      </c>
      <c r="GS2" s="248" t="s">
        <v>311</v>
      </c>
      <c r="GT2" s="248" t="s">
        <v>312</v>
      </c>
      <c r="GU2" s="247" t="s">
        <v>381</v>
      </c>
      <c r="GW2" s="248" t="s">
        <v>431</v>
      </c>
      <c r="GX2" s="248" t="s">
        <v>253</v>
      </c>
      <c r="GY2" s="268" t="s">
        <v>420</v>
      </c>
      <c r="GZ2" s="248" t="s">
        <v>311</v>
      </c>
      <c r="HA2" s="248" t="s">
        <v>312</v>
      </c>
      <c r="HB2" s="247" t="s">
        <v>381</v>
      </c>
    </row>
    <row r="3" spans="1:211" ht="12.75" customHeight="1">
      <c r="A3" s="201" t="s">
        <v>492</v>
      </c>
      <c r="B3" s="355"/>
      <c r="D3" s="201"/>
      <c r="E3" s="201"/>
      <c r="F3" s="201"/>
      <c r="G3" s="201"/>
      <c r="H3" s="201"/>
      <c r="I3" s="355"/>
      <c r="K3" s="201"/>
      <c r="L3" s="201"/>
      <c r="M3" s="201"/>
      <c r="N3" s="201"/>
      <c r="O3" s="201"/>
      <c r="P3" s="355"/>
      <c r="R3" s="201"/>
      <c r="S3" s="201"/>
      <c r="T3" s="201"/>
      <c r="U3" s="201"/>
      <c r="V3" s="201"/>
      <c r="W3" s="355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201"/>
      <c r="DU3" s="201"/>
      <c r="DV3" s="201"/>
      <c r="DW3" s="201"/>
      <c r="DX3" s="201"/>
      <c r="DY3" s="201"/>
      <c r="DZ3" s="201"/>
      <c r="EA3" s="201"/>
      <c r="EB3" s="201"/>
      <c r="EC3" s="201"/>
      <c r="ED3" s="201"/>
      <c r="EE3" s="201"/>
      <c r="EF3" s="201"/>
      <c r="EG3" s="201"/>
      <c r="EH3" s="201"/>
      <c r="EI3" s="201"/>
      <c r="EJ3" s="201"/>
      <c r="EK3" s="201"/>
      <c r="EL3" s="201"/>
      <c r="EM3" s="201"/>
      <c r="EN3" s="201"/>
      <c r="EO3" s="201"/>
      <c r="EP3" s="201"/>
      <c r="EQ3" s="201"/>
      <c r="ER3" s="201"/>
      <c r="ES3" s="201"/>
      <c r="ET3" s="201"/>
      <c r="EU3" s="201"/>
      <c r="EV3" s="201"/>
      <c r="EW3" s="201"/>
      <c r="EX3" s="201"/>
      <c r="EY3" s="201"/>
      <c r="EZ3" s="201"/>
      <c r="FA3" s="201"/>
      <c r="FB3" s="201"/>
      <c r="FC3" s="201"/>
      <c r="FD3" s="201"/>
      <c r="FE3" s="201"/>
      <c r="FF3" s="201"/>
      <c r="FG3" s="201"/>
      <c r="FH3" s="201"/>
      <c r="FI3" s="201"/>
      <c r="FJ3" s="201"/>
      <c r="FK3" s="201"/>
      <c r="FL3" s="201"/>
      <c r="FM3" s="201"/>
      <c r="FN3" s="201"/>
      <c r="FO3" s="201"/>
      <c r="FP3" s="201"/>
      <c r="FQ3" s="201"/>
      <c r="FR3" s="201"/>
      <c r="FS3" s="201"/>
      <c r="FT3" s="201"/>
      <c r="FU3" s="201"/>
      <c r="FV3" s="201"/>
      <c r="FW3" s="201"/>
      <c r="FX3" s="201"/>
      <c r="FY3" s="201"/>
      <c r="FZ3" s="201"/>
      <c r="GA3" s="201"/>
      <c r="GB3" s="201"/>
      <c r="GC3" s="201"/>
      <c r="GD3" s="201"/>
      <c r="GE3" s="201"/>
      <c r="GF3" s="201"/>
      <c r="GG3" s="201"/>
      <c r="GH3" s="201"/>
      <c r="GI3" s="201"/>
      <c r="GJ3" s="201"/>
      <c r="GK3" s="201"/>
      <c r="GL3" s="201"/>
      <c r="GM3" s="201"/>
      <c r="GN3" s="201"/>
      <c r="GO3" s="201"/>
      <c r="GP3" s="201"/>
      <c r="GQ3" s="201"/>
      <c r="GR3" s="201"/>
      <c r="GS3" s="201"/>
      <c r="GT3" s="201"/>
      <c r="GU3" s="201"/>
      <c r="GV3" s="201"/>
      <c r="GW3" s="201"/>
      <c r="GX3" s="201"/>
      <c r="GY3" s="201"/>
      <c r="GZ3" s="201"/>
      <c r="HA3" s="201"/>
      <c r="HB3" s="201"/>
      <c r="HC3" s="201"/>
    </row>
    <row r="4" spans="1:211" ht="12.75" customHeight="1">
      <c r="A4" t="s">
        <v>493</v>
      </c>
      <c r="B4" s="246">
        <f>SUMPRODUCT((LEFT(Alcom!$G$3:$G$2399,5)="53035")*(MONTH(date)&lt;=MONTH('ANSC-TB'!$G$5)),(Alcom!$K$3:$V$2399))</f>
        <v>76853.279999999984</v>
      </c>
      <c r="C4" s="81">
        <f>SUMPRODUCT((LEFT(ANSC!$G$3:$G$2399,5)="53035")*(MONTH(date)&lt;=MONTH('ANSC-TB'!$G$5)),(ANSC!$K$3:$V$2399))</f>
        <v>15986.93</v>
      </c>
      <c r="G4" s="82">
        <f>SUM(B4:F4)</f>
        <v>92840.209999999992</v>
      </c>
      <c r="I4" s="246">
        <v>258828.06000000003</v>
      </c>
      <c r="J4" s="81">
        <v>62918.65</v>
      </c>
      <c r="N4" s="82">
        <f>SUM(I4:M4)</f>
        <v>321746.71000000002</v>
      </c>
      <c r="P4" s="246">
        <v>209602.22999999998</v>
      </c>
      <c r="Q4" s="81">
        <v>46655.35</v>
      </c>
      <c r="U4" s="82">
        <f>SUM(P4:T4)</f>
        <v>256257.58</v>
      </c>
      <c r="W4" s="246">
        <v>143481.97000000003</v>
      </c>
      <c r="X4" s="477">
        <v>35051.08</v>
      </c>
      <c r="AB4" s="82">
        <f>SUM(W4:AA4)</f>
        <v>178533.05000000005</v>
      </c>
      <c r="AD4" s="246">
        <v>65316.11</v>
      </c>
      <c r="AE4" s="53">
        <v>18460.5</v>
      </c>
      <c r="AI4" s="82">
        <f>SUM(AD4:AH4)</f>
        <v>83776.61</v>
      </c>
      <c r="AK4" s="246">
        <v>285530.67</v>
      </c>
      <c r="AL4" s="53">
        <v>66819.81</v>
      </c>
      <c r="AP4" s="82">
        <f>SUM(AK4:AO4)</f>
        <v>352350.48</v>
      </c>
      <c r="AR4" s="246">
        <v>221172.63</v>
      </c>
      <c r="AS4" s="53">
        <v>44732.25</v>
      </c>
      <c r="AW4" s="82">
        <f>SUM(AR4:AV4)</f>
        <v>265904.88</v>
      </c>
      <c r="AY4" s="246">
        <v>158524.20000000001</v>
      </c>
      <c r="AZ4" s="53">
        <v>24586.16</v>
      </c>
      <c r="BD4" s="82">
        <f>SUM(AY4:BC4)</f>
        <v>183110.36000000002</v>
      </c>
      <c r="BF4" s="246">
        <v>63601.66</v>
      </c>
      <c r="BG4" s="53">
        <v>9519.6200000000008</v>
      </c>
      <c r="BK4" s="82">
        <f>SUM(BF4:BJ4)</f>
        <v>73121.279999999999</v>
      </c>
      <c r="BM4" s="246">
        <v>184596.61</v>
      </c>
      <c r="BN4" s="53">
        <v>58721.32</v>
      </c>
      <c r="BR4" s="82">
        <f>SUM(BM4:BQ4)</f>
        <v>243317.93</v>
      </c>
      <c r="BT4" s="246">
        <v>145421.29999999999</v>
      </c>
      <c r="BU4" s="53">
        <v>39754.57</v>
      </c>
      <c r="BY4" s="82">
        <f>SUM(BT4:BX4)</f>
        <v>185175.87</v>
      </c>
      <c r="CA4" s="246">
        <v>108766.6</v>
      </c>
      <c r="CB4" s="246">
        <v>30762.33</v>
      </c>
      <c r="CF4" s="82">
        <f>SUM(CA4:CE4)</f>
        <v>139528.93</v>
      </c>
      <c r="CH4" s="246">
        <v>60535.57</v>
      </c>
      <c r="CI4" s="246">
        <v>15553.02</v>
      </c>
      <c r="CM4" s="82">
        <f>SUM(CH4:CL4)</f>
        <v>76088.59</v>
      </c>
      <c r="CO4" s="246">
        <v>54183.21</v>
      </c>
      <c r="CP4" s="246">
        <v>12682.37</v>
      </c>
      <c r="CT4" s="82">
        <f>SUM(CO4:CS4)</f>
        <v>66865.58</v>
      </c>
      <c r="CV4" s="246">
        <v>244455.35</v>
      </c>
      <c r="CW4" s="246">
        <v>64520.160000000003</v>
      </c>
      <c r="DA4" s="82">
        <f>SUM(CV4:CZ4)</f>
        <v>308975.51</v>
      </c>
      <c r="DC4" s="246">
        <v>191968.37</v>
      </c>
      <c r="DD4" s="246">
        <v>48341.760000000002</v>
      </c>
      <c r="DH4" s="82">
        <f>SUM(DC4:DG4)</f>
        <v>240310.13</v>
      </c>
      <c r="DJ4" s="246">
        <v>113584.56</v>
      </c>
      <c r="DK4" s="246">
        <v>33623.72</v>
      </c>
      <c r="DO4" s="82">
        <f>SUM(DJ4:DN4)</f>
        <v>147208.28</v>
      </c>
      <c r="DQ4" s="246">
        <v>44337.68</v>
      </c>
      <c r="DR4" s="246">
        <v>13486.81</v>
      </c>
      <c r="DV4" s="82">
        <f>SUM(DQ4:DU4)</f>
        <v>57824.49</v>
      </c>
      <c r="DX4" s="246">
        <v>192285.09</v>
      </c>
      <c r="DY4" s="246">
        <v>90829.24</v>
      </c>
      <c r="EC4" s="82">
        <f>SUM(DX4:EB4)</f>
        <v>283114.33</v>
      </c>
      <c r="EE4" s="246">
        <v>147728.72</v>
      </c>
      <c r="EF4" s="246">
        <v>70184.820000000007</v>
      </c>
      <c r="EJ4" s="82">
        <f>SUM(EE4:EI4)</f>
        <v>217913.54</v>
      </c>
      <c r="EL4" s="246">
        <v>93697.34</v>
      </c>
      <c r="EM4" s="246">
        <v>44794.45</v>
      </c>
      <c r="EQ4" s="82">
        <f>SUM(EL4:EP4)</f>
        <v>138491.78999999998</v>
      </c>
      <c r="ES4" s="246">
        <v>43455.57</v>
      </c>
      <c r="ET4" s="246">
        <v>20539.03</v>
      </c>
      <c r="EX4" s="82">
        <f>SUM(ES4:EW4)</f>
        <v>63994.6</v>
      </c>
      <c r="EZ4" s="246">
        <v>225002.6</v>
      </c>
      <c r="FA4" s="246">
        <v>115588.35</v>
      </c>
      <c r="FE4" s="82">
        <f>SUM(EZ4:FD4)</f>
        <v>340590.95</v>
      </c>
      <c r="FG4" s="246">
        <v>175891.61</v>
      </c>
      <c r="FH4" s="246">
        <v>88448.84</v>
      </c>
      <c r="FL4">
        <f>SUM(FG4:FJ4)</f>
        <v>264340.44999999995</v>
      </c>
      <c r="FN4" s="246">
        <v>120269.73</v>
      </c>
      <c r="FO4" s="246">
        <v>53014.94</v>
      </c>
      <c r="FS4">
        <f>SUM(FN4:FQ4)</f>
        <v>173284.66999999998</v>
      </c>
      <c r="FU4" s="20">
        <v>49984.77</v>
      </c>
      <c r="FV4" s="20">
        <v>28452.23</v>
      </c>
      <c r="FZ4">
        <f>SUM(FU4:FX4)</f>
        <v>78437</v>
      </c>
      <c r="GB4" s="20">
        <v>286838.02</v>
      </c>
      <c r="GC4" s="20">
        <v>101801.17</v>
      </c>
      <c r="GG4">
        <f>SUM(GB4:GE4)</f>
        <v>388639.19</v>
      </c>
      <c r="GI4" s="20">
        <v>224312.8</v>
      </c>
      <c r="GJ4" s="20">
        <v>79193.78</v>
      </c>
      <c r="GN4">
        <f>SUM(GI4:GL4)</f>
        <v>303506.57999999996</v>
      </c>
      <c r="GP4" s="280">
        <v>158679.04999999999</v>
      </c>
      <c r="GQ4" s="280">
        <v>58503.23</v>
      </c>
      <c r="GU4">
        <f>SUM(GP4:GS4)</f>
        <v>217182.28</v>
      </c>
      <c r="GW4">
        <v>70002.28</v>
      </c>
      <c r="GX4">
        <v>30311.98</v>
      </c>
      <c r="HB4">
        <f>SUM(GW4:GZ4)</f>
        <v>100314.26</v>
      </c>
    </row>
    <row r="5" spans="1:211" ht="12.75" customHeight="1">
      <c r="A5" s="254" t="s">
        <v>494</v>
      </c>
      <c r="B5" s="81">
        <f>SUMPRODUCT((Alcom!$B$3:$B$2399="interest expense")*(MONTH(date)&lt;=MONTH('ANSC-TB'!$G$5)),(Alcom!$K$3:$V$2399))</f>
        <v>4986.3100000000004</v>
      </c>
      <c r="C5" s="81">
        <f>SUMPRODUCT((ANSC!$B$3:$B$2399="interest expense")*(MONTH(date)&lt;=MONTH('ANSC-TB'!$G$5)),(ANSC!$K$3:$V$2399))</f>
        <v>2493.14</v>
      </c>
      <c r="D5" s="254"/>
      <c r="E5" s="254"/>
      <c r="F5" s="254"/>
      <c r="G5" s="82">
        <f>SUM(B5:F5)</f>
        <v>7479.4500000000007</v>
      </c>
      <c r="H5" s="254"/>
      <c r="I5" s="81">
        <v>20065.780000000002</v>
      </c>
      <c r="J5" s="81">
        <v>9971</v>
      </c>
      <c r="K5" s="254"/>
      <c r="L5" s="254"/>
      <c r="M5" s="254"/>
      <c r="N5" s="82">
        <f>SUM(I5:M5)</f>
        <v>30036.780000000002</v>
      </c>
      <c r="O5" s="254"/>
      <c r="P5" s="81">
        <v>15068.510000000002</v>
      </c>
      <c r="Q5" s="81">
        <v>7679.23</v>
      </c>
      <c r="R5" s="254"/>
      <c r="S5" s="254"/>
      <c r="T5" s="254"/>
      <c r="U5" s="82">
        <f>SUM(P5:T5)</f>
        <v>22747.74</v>
      </c>
      <c r="V5" s="254"/>
      <c r="W5" s="81">
        <v>10027.41</v>
      </c>
      <c r="X5" s="81">
        <v>5013.72</v>
      </c>
      <c r="Y5" s="254"/>
      <c r="Z5" s="254"/>
      <c r="AA5" s="254"/>
      <c r="AB5" s="82">
        <f>SUM(W5:AA5)</f>
        <v>15041.130000000001</v>
      </c>
      <c r="AD5" s="262">
        <v>4986.3100000000004</v>
      </c>
      <c r="AE5" s="262">
        <f>2493.16</f>
        <v>2493.16</v>
      </c>
      <c r="AF5" s="254"/>
      <c r="AG5" s="254"/>
      <c r="AH5" s="254"/>
      <c r="AI5" s="82">
        <f>SUM(AD5:AH5)</f>
        <v>7479.47</v>
      </c>
      <c r="AK5" s="262">
        <v>20496.96</v>
      </c>
      <c r="AL5" s="262">
        <v>9986.48</v>
      </c>
      <c r="AM5" s="254"/>
      <c r="AN5" s="254"/>
      <c r="AO5" s="254"/>
      <c r="AP5" s="82">
        <f>SUM(AK5:AO5)</f>
        <v>30483.439999999999</v>
      </c>
      <c r="AR5" s="262">
        <v>15565.45</v>
      </c>
      <c r="AS5" s="262">
        <v>7534.28</v>
      </c>
      <c r="AT5" s="254"/>
      <c r="AU5" s="254"/>
      <c r="AV5" s="254"/>
      <c r="AW5" s="82">
        <f>SUM(AR5:AV5)</f>
        <v>23099.73</v>
      </c>
      <c r="AY5" s="262">
        <v>10542.48</v>
      </c>
      <c r="AZ5" s="262">
        <v>5013.72</v>
      </c>
      <c r="BA5" s="254"/>
      <c r="BB5" s="254"/>
      <c r="BC5" s="254"/>
      <c r="BD5" s="82">
        <f>SUM(AY5:BC5)</f>
        <v>15556.2</v>
      </c>
      <c r="BF5" s="262">
        <v>5290.41</v>
      </c>
      <c r="BG5" s="262">
        <v>2493.16</v>
      </c>
      <c r="BH5" s="254"/>
      <c r="BI5" s="254"/>
      <c r="BJ5" s="254"/>
      <c r="BK5" s="82">
        <f>SUM(BF5:BJ5)</f>
        <v>7783.57</v>
      </c>
      <c r="BM5" s="262">
        <v>20835.490000000002</v>
      </c>
      <c r="BN5" s="262">
        <v>9975.59</v>
      </c>
      <c r="BO5" s="254"/>
      <c r="BP5" s="254"/>
      <c r="BQ5" s="254"/>
      <c r="BR5" s="82">
        <f>SUM(BM5:BQ5)</f>
        <v>30811.08</v>
      </c>
      <c r="BT5" s="262">
        <v>15712.2</v>
      </c>
      <c r="BU5" s="262">
        <v>7509.83</v>
      </c>
      <c r="BV5" s="254"/>
      <c r="BW5" s="254"/>
      <c r="BX5" s="254"/>
      <c r="BY5" s="82">
        <f>SUM(BT5:BX5)</f>
        <v>23222.03</v>
      </c>
      <c r="CA5" s="262">
        <v>10432.83</v>
      </c>
      <c r="CB5" s="262">
        <v>4999.9799999999996</v>
      </c>
      <c r="CC5" s="254"/>
      <c r="CD5" s="254"/>
      <c r="CE5" s="254"/>
      <c r="CF5" s="82">
        <f>SUM(CA5:CE5)</f>
        <v>15432.81</v>
      </c>
      <c r="CH5" s="262">
        <v>5153.46</v>
      </c>
      <c r="CI5" s="262">
        <v>2486.33</v>
      </c>
      <c r="CJ5" s="254"/>
      <c r="CK5" s="254"/>
      <c r="CL5" s="254"/>
      <c r="CM5" s="82">
        <f>SUM(CH5:CL5)</f>
        <v>7639.79</v>
      </c>
      <c r="CO5" s="262">
        <v>5221.99</v>
      </c>
      <c r="CP5" s="262">
        <v>2486.33</v>
      </c>
      <c r="CQ5" s="254"/>
      <c r="CR5" s="254"/>
      <c r="CS5" s="254"/>
      <c r="CT5" s="82">
        <f>SUM(CO5:CS5)</f>
        <v>7708.32</v>
      </c>
      <c r="CV5" s="262">
        <v>20879.91</v>
      </c>
      <c r="CW5" s="262">
        <v>10000.040000000001</v>
      </c>
      <c r="CX5" s="254"/>
      <c r="CY5" s="254"/>
      <c r="CZ5" s="254"/>
      <c r="DA5" s="82">
        <f>SUM(CV5:CZ5)</f>
        <v>30879.95</v>
      </c>
      <c r="DC5" s="262">
        <v>15628.44</v>
      </c>
      <c r="DD5" s="262">
        <v>7479.48</v>
      </c>
      <c r="DE5" s="254"/>
      <c r="DF5" s="254"/>
      <c r="DG5" s="254"/>
      <c r="DH5" s="82">
        <f>SUM(DC5:DG5)</f>
        <v>23107.919999999998</v>
      </c>
      <c r="DJ5" s="262">
        <v>10362</v>
      </c>
      <c r="DK5" s="262">
        <v>4958.92</v>
      </c>
      <c r="DL5" s="254"/>
      <c r="DM5" s="254"/>
      <c r="DN5" s="254"/>
      <c r="DO5" s="82">
        <f>SUM(DJ5:DN5)</f>
        <v>15320.92</v>
      </c>
      <c r="DQ5" s="262">
        <v>5105.1400000000003</v>
      </c>
      <c r="DR5" s="262">
        <v>2465.7600000000002</v>
      </c>
      <c r="DS5" s="254"/>
      <c r="DT5" s="254"/>
      <c r="DU5" s="254"/>
      <c r="DV5" s="82">
        <f>SUM(DQ5:DU5)</f>
        <v>7570.9000000000005</v>
      </c>
      <c r="DX5" s="262">
        <v>20250.13</v>
      </c>
      <c r="DY5" s="262">
        <v>10000.040000000001</v>
      </c>
      <c r="DZ5" s="254"/>
      <c r="EA5" s="254"/>
      <c r="EB5" s="254"/>
      <c r="EC5" s="82">
        <f>SUM(DX5:EB5)</f>
        <v>30250.170000000002</v>
      </c>
      <c r="EE5" s="262">
        <v>14913.11</v>
      </c>
      <c r="EF5" s="262">
        <v>7479.48</v>
      </c>
      <c r="EG5" s="254"/>
      <c r="EH5" s="254"/>
      <c r="EI5" s="254"/>
      <c r="EJ5" s="82">
        <f>SUM(EE5:EI5)</f>
        <v>22392.59</v>
      </c>
      <c r="EL5" s="262">
        <v>9878.14</v>
      </c>
      <c r="EM5" s="262">
        <v>4958.92</v>
      </c>
      <c r="EN5" s="254"/>
      <c r="EO5" s="254"/>
      <c r="EP5" s="254"/>
      <c r="EQ5" s="82">
        <f>SUM(EL5:EP5)</f>
        <v>14837.06</v>
      </c>
      <c r="ES5" s="262">
        <v>4958.91</v>
      </c>
      <c r="ET5" s="262">
        <v>2465.7600000000002</v>
      </c>
      <c r="EU5" s="254"/>
      <c r="EV5" s="254"/>
      <c r="EW5" s="254"/>
      <c r="EX5" s="82">
        <f>SUM(ES5:EW5)</f>
        <v>7424.67</v>
      </c>
      <c r="EZ5" s="262">
        <v>20978.2</v>
      </c>
      <c r="FA5" s="262">
        <v>9950.94</v>
      </c>
      <c r="FB5" s="254"/>
      <c r="FC5" s="254"/>
      <c r="FD5" s="254"/>
      <c r="FE5" s="82">
        <f>SUM(EZ5:FD5)</f>
        <v>30929.14</v>
      </c>
      <c r="FG5" s="262">
        <v>15695.98</v>
      </c>
      <c r="FH5" s="262">
        <v>7430.38</v>
      </c>
      <c r="FI5" s="254"/>
      <c r="FJ5" s="254"/>
      <c r="FK5" s="254"/>
      <c r="FL5">
        <f>SUM(FG5:FJ5)</f>
        <v>23126.36</v>
      </c>
      <c r="FN5" s="262">
        <v>10413.76</v>
      </c>
      <c r="FO5" s="262">
        <v>4934.1099999999997</v>
      </c>
      <c r="FP5" s="254"/>
      <c r="FQ5" s="254"/>
      <c r="FR5" s="254"/>
      <c r="FS5">
        <f>SUM(FN5:FQ5)</f>
        <v>15347.869999999999</v>
      </c>
      <c r="FU5" s="247">
        <v>5178.1099999999997</v>
      </c>
      <c r="FV5" s="247">
        <v>2465.7600000000002</v>
      </c>
      <c r="FW5" s="254"/>
      <c r="FX5" s="254"/>
      <c r="FY5" s="254"/>
      <c r="FZ5">
        <f>SUM(FU5:FX5)</f>
        <v>7643.87</v>
      </c>
      <c r="GA5" s="254"/>
      <c r="GB5" s="247">
        <v>20991.81</v>
      </c>
      <c r="GC5" s="247">
        <v>9994.59</v>
      </c>
      <c r="GD5" s="254"/>
      <c r="GE5" s="254"/>
      <c r="GF5" s="254"/>
      <c r="GG5">
        <f>SUM(GB5:GE5)</f>
        <v>30986.400000000001</v>
      </c>
      <c r="GH5" s="254"/>
      <c r="GI5" s="247">
        <v>15723.37</v>
      </c>
      <c r="GJ5" s="247">
        <f>7482.79</f>
        <v>7482.79</v>
      </c>
      <c r="GK5" s="254"/>
      <c r="GL5" s="254"/>
      <c r="GM5" s="254"/>
      <c r="GN5">
        <f>SUM(GI5:GL5)</f>
        <v>23206.16</v>
      </c>
      <c r="GO5" s="254"/>
      <c r="GP5" s="247">
        <v>10443.969999999999</v>
      </c>
      <c r="GQ5" s="247">
        <v>4969.1400000000003</v>
      </c>
      <c r="GR5" s="254"/>
      <c r="GS5" s="254"/>
      <c r="GT5" s="254"/>
      <c r="GU5">
        <f>SUM(GP5:GS5)</f>
        <v>15413.11</v>
      </c>
      <c r="GV5" s="254"/>
      <c r="GW5" s="247">
        <v>5221.96</v>
      </c>
      <c r="GX5" s="247">
        <v>2486.33</v>
      </c>
      <c r="GY5" s="254"/>
      <c r="GZ5" s="254"/>
      <c r="HA5" s="254"/>
      <c r="HB5">
        <f>SUM(GW5:GZ5)</f>
        <v>7708.29</v>
      </c>
      <c r="HC5" s="254"/>
    </row>
    <row r="6" spans="1:211" ht="12.75" customHeight="1">
      <c r="A6" t="s">
        <v>495</v>
      </c>
      <c r="B6" s="82"/>
      <c r="C6" s="82"/>
      <c r="G6" s="82">
        <f>SUM(B6:F6)</f>
        <v>0</v>
      </c>
      <c r="I6" s="82"/>
      <c r="J6" s="82"/>
      <c r="N6" s="82">
        <f>SUM(I6:M6)</f>
        <v>0</v>
      </c>
      <c r="P6" s="82"/>
      <c r="Q6" s="82"/>
      <c r="U6" s="82">
        <f>SUM(P6:T6)</f>
        <v>0</v>
      </c>
      <c r="W6" s="82"/>
      <c r="X6" s="82"/>
      <c r="AB6" s="82">
        <f>SUM(W6:AA6)</f>
        <v>0</v>
      </c>
      <c r="AD6" s="82"/>
      <c r="AE6" s="82"/>
      <c r="AI6" s="82">
        <f>SUM(AD6:AH6)</f>
        <v>0</v>
      </c>
      <c r="AK6" s="82">
        <v>105.11</v>
      </c>
      <c r="AL6" s="82">
        <v>78.62</v>
      </c>
      <c r="AP6" s="82">
        <f>SUM(AK6:AO6)</f>
        <v>183.73000000000002</v>
      </c>
      <c r="AR6" s="82">
        <v>105.11</v>
      </c>
      <c r="AS6" s="82">
        <v>0</v>
      </c>
      <c r="AW6" s="82">
        <f>SUM(AR6:AV6)</f>
        <v>105.11</v>
      </c>
      <c r="AY6" s="82">
        <v>0</v>
      </c>
      <c r="AZ6" s="82">
        <v>0</v>
      </c>
      <c r="BD6" s="82">
        <f>SUM(AY6:BC6)</f>
        <v>0</v>
      </c>
      <c r="BF6" s="82">
        <v>0</v>
      </c>
      <c r="BG6" s="82">
        <v>0</v>
      </c>
      <c r="BK6" s="82">
        <f>SUM(BF6:BJ6)</f>
        <v>0</v>
      </c>
      <c r="BM6" s="82">
        <v>479.74</v>
      </c>
      <c r="BN6" s="82">
        <v>26.65</v>
      </c>
      <c r="BR6" s="82">
        <f>SUM(BM6:BQ6)</f>
        <v>506.39</v>
      </c>
      <c r="BT6" s="82">
        <v>479.74</v>
      </c>
      <c r="BU6" s="82">
        <v>26.65</v>
      </c>
      <c r="BY6" s="82">
        <f>SUM(BT6:BX6)</f>
        <v>506.39</v>
      </c>
      <c r="CA6" s="82">
        <v>479.74</v>
      </c>
      <c r="CB6" s="82"/>
      <c r="CF6" s="82">
        <f>SUM(CA6:CE6)</f>
        <v>479.74</v>
      </c>
      <c r="CH6" s="82">
        <v>479.74</v>
      </c>
      <c r="CI6" s="82"/>
      <c r="CM6" s="82">
        <f>SUM(CH6:CL6)</f>
        <v>479.74</v>
      </c>
      <c r="CO6" s="82">
        <v>0</v>
      </c>
      <c r="CP6" s="82"/>
      <c r="CT6" s="82">
        <f>SUM(CO6:CS6)</f>
        <v>0</v>
      </c>
      <c r="CV6" s="82">
        <v>438.54</v>
      </c>
      <c r="CW6" s="82"/>
      <c r="DA6" s="82">
        <f>SUM(CV6:CZ6)</f>
        <v>438.54</v>
      </c>
      <c r="DC6" s="82">
        <v>146.77000000000001</v>
      </c>
      <c r="DD6" s="82"/>
      <c r="DH6" s="82">
        <f>SUM(DC6:DG6)</f>
        <v>146.77000000000001</v>
      </c>
      <c r="DJ6" s="82">
        <v>0</v>
      </c>
      <c r="DK6" s="82"/>
      <c r="DO6" s="82">
        <f>SUM(DJ6:DN6)</f>
        <v>0</v>
      </c>
      <c r="DQ6" s="82">
        <v>21.23</v>
      </c>
      <c r="DR6" s="82"/>
      <c r="DV6" s="82">
        <f>SUM(DQ6:DU6)</f>
        <v>21.23</v>
      </c>
      <c r="DX6" s="82">
        <v>600.70000000000005</v>
      </c>
      <c r="DY6" s="82"/>
      <c r="EC6" s="82">
        <f>SUM(DX6:EB6)</f>
        <v>600.70000000000005</v>
      </c>
      <c r="EE6" s="82">
        <v>600.70000000000005</v>
      </c>
      <c r="EF6" s="82"/>
      <c r="EJ6" s="82">
        <f>SUM(EE6:EI6)</f>
        <v>600.70000000000005</v>
      </c>
      <c r="EL6" s="82">
        <v>452.77</v>
      </c>
      <c r="EM6" s="82"/>
      <c r="EQ6" s="82">
        <f>SUM(EL6:EP6)</f>
        <v>452.77</v>
      </c>
      <c r="ES6" s="82"/>
      <c r="ET6" s="82"/>
      <c r="EX6" s="82">
        <f>SUM(ES6:EW6)</f>
        <v>0</v>
      </c>
      <c r="EZ6" s="82">
        <v>152895.51999999999</v>
      </c>
      <c r="FA6" s="82">
        <v>306.85000000000002</v>
      </c>
      <c r="FE6" s="82">
        <f>SUM(EZ6:FD6)</f>
        <v>153202.37</v>
      </c>
      <c r="FG6" s="82">
        <v>152895.51999999999</v>
      </c>
      <c r="FH6" s="82">
        <v>306.85000000000002</v>
      </c>
      <c r="FL6">
        <f>SUM(FG6:FJ6)</f>
        <v>153202.37</v>
      </c>
      <c r="FN6" s="82">
        <v>152895.51999999999</v>
      </c>
      <c r="FO6" s="82">
        <v>155.08000000000001</v>
      </c>
      <c r="FS6">
        <f>SUM(FN6:FQ6)</f>
        <v>153050.59999999998</v>
      </c>
      <c r="FU6">
        <v>0</v>
      </c>
      <c r="FZ6">
        <f>SUM(FU6:FX6)</f>
        <v>0</v>
      </c>
      <c r="GB6">
        <v>0</v>
      </c>
      <c r="GC6">
        <v>36.72</v>
      </c>
      <c r="GG6">
        <f>SUM(GB6:GE6)</f>
        <v>36.72</v>
      </c>
      <c r="GI6">
        <v>0</v>
      </c>
      <c r="GJ6">
        <v>22.02</v>
      </c>
      <c r="GN6">
        <f>SUM(GI6:GL6)</f>
        <v>22.02</v>
      </c>
      <c r="GP6">
        <v>0</v>
      </c>
      <c r="GQ6">
        <v>22.02</v>
      </c>
      <c r="GU6">
        <f>SUM(GP6:GS6)</f>
        <v>22.02</v>
      </c>
      <c r="GW6">
        <v>0</v>
      </c>
      <c r="HB6">
        <f>SUM(GW6:GZ6)</f>
        <v>0</v>
      </c>
    </row>
    <row r="7" spans="1:211" ht="12.75" customHeight="1">
      <c r="A7" t="s">
        <v>381</v>
      </c>
      <c r="B7" s="242">
        <f>SUM(B4:B6)</f>
        <v>81839.589999999982</v>
      </c>
      <c r="C7" s="242">
        <f>SUM(C4:C6)</f>
        <v>18480.07</v>
      </c>
      <c r="D7" s="242">
        <f>SUM(D4:D6)</f>
        <v>0</v>
      </c>
      <c r="E7" s="242">
        <f>SUM(E4:E6)</f>
        <v>0</v>
      </c>
      <c r="F7" s="242"/>
      <c r="G7" s="242">
        <f>SUM(G4:G6)</f>
        <v>100319.65999999999</v>
      </c>
      <c r="I7" s="242">
        <v>278893.84000000003</v>
      </c>
      <c r="J7" s="242">
        <v>72889.649999999994</v>
      </c>
      <c r="K7" s="242">
        <v>0</v>
      </c>
      <c r="L7" s="242">
        <v>0</v>
      </c>
      <c r="M7" s="242"/>
      <c r="N7" s="242">
        <f>SUM(N4:N6)</f>
        <v>351783.49000000005</v>
      </c>
      <c r="P7" s="242">
        <v>224670.74</v>
      </c>
      <c r="Q7" s="242">
        <v>54334.58</v>
      </c>
      <c r="R7" s="242">
        <v>0</v>
      </c>
      <c r="S7" s="242">
        <v>0</v>
      </c>
      <c r="T7" s="242"/>
      <c r="U7" s="242">
        <f>SUM(U4:U6)</f>
        <v>279005.32</v>
      </c>
      <c r="W7" s="242">
        <v>153509.38000000003</v>
      </c>
      <c r="X7" s="242">
        <v>40064.800000000003</v>
      </c>
      <c r="Y7" s="242">
        <v>0</v>
      </c>
      <c r="Z7" s="242">
        <v>0</v>
      </c>
      <c r="AA7" s="242"/>
      <c r="AB7" s="242">
        <f>SUM(AB4:AB6)</f>
        <v>193574.18000000005</v>
      </c>
      <c r="AC7" s="241"/>
      <c r="AD7" s="242">
        <f>SUM(AD4:AD6)</f>
        <v>70302.42</v>
      </c>
      <c r="AE7" s="242">
        <f>SUM(AE4:AE6)</f>
        <v>20953.66</v>
      </c>
      <c r="AF7" s="242">
        <f>SUM(AF4:AF6)</f>
        <v>0</v>
      </c>
      <c r="AG7" s="242">
        <f>SUM(AG4:AG6)</f>
        <v>0</v>
      </c>
      <c r="AH7" s="242"/>
      <c r="AI7" s="242">
        <f>SUM(AI4:AI6)</f>
        <v>91256.08</v>
      </c>
      <c r="AJ7" s="241"/>
      <c r="AK7" s="242">
        <f>SUM(AK4:AK6)</f>
        <v>306132.74</v>
      </c>
      <c r="AL7" s="242">
        <f>SUM(AL4:AL6)</f>
        <v>76884.909999999989</v>
      </c>
      <c r="AM7" s="242">
        <f>SUM(AM4:AM6)</f>
        <v>0</v>
      </c>
      <c r="AN7" s="242">
        <f>SUM(AN4:AN6)</f>
        <v>0</v>
      </c>
      <c r="AO7" s="242"/>
      <c r="AP7" s="242">
        <f>SUM(AP4:AP6)</f>
        <v>383017.64999999997</v>
      </c>
      <c r="AQ7" s="241"/>
      <c r="AR7" s="242">
        <f>SUM(AR4:AR6)</f>
        <v>236843.19</v>
      </c>
      <c r="AS7" s="242">
        <f>SUM(AS4:AS6)</f>
        <v>52266.53</v>
      </c>
      <c r="AT7" s="242">
        <f>SUM(AT4:AT6)</f>
        <v>0</v>
      </c>
      <c r="AU7" s="242">
        <f>SUM(AU4:AU6)</f>
        <v>0</v>
      </c>
      <c r="AV7" s="242"/>
      <c r="AW7" s="242">
        <f>SUM(AW4:AW6)</f>
        <v>289109.71999999997</v>
      </c>
      <c r="AX7" s="241"/>
      <c r="AY7" s="242">
        <f>SUM(AY4:AY6)</f>
        <v>169066.68000000002</v>
      </c>
      <c r="AZ7" s="242">
        <f>SUM(AZ4:AZ6)</f>
        <v>29599.88</v>
      </c>
      <c r="BA7" s="242">
        <f>SUM(BA4:BA6)</f>
        <v>0</v>
      </c>
      <c r="BB7" s="242">
        <f>SUM(BB4:BB6)</f>
        <v>0</v>
      </c>
      <c r="BC7" s="242"/>
      <c r="BD7" s="242">
        <f>SUM(BD4:BD6)</f>
        <v>198666.56000000003</v>
      </c>
      <c r="BE7" s="241"/>
      <c r="BF7" s="242">
        <f>SUM(BF4:BF6)</f>
        <v>68892.070000000007</v>
      </c>
      <c r="BG7" s="242">
        <f>SUM(BG4:BG6)</f>
        <v>12012.78</v>
      </c>
      <c r="BH7" s="242">
        <f>SUM(BH4:BH6)</f>
        <v>0</v>
      </c>
      <c r="BI7" s="242">
        <f>SUM(BI4:BI6)</f>
        <v>0</v>
      </c>
      <c r="BJ7" s="242"/>
      <c r="BK7" s="242">
        <f>SUM(BK4:BK6)</f>
        <v>80904.850000000006</v>
      </c>
      <c r="BL7" s="241"/>
      <c r="BM7" s="242">
        <f>SUM(BM4:BM6)</f>
        <v>205911.83999999997</v>
      </c>
      <c r="BN7" s="242">
        <f>SUM(BN4:BN6)</f>
        <v>68723.56</v>
      </c>
      <c r="BO7" s="242">
        <f>SUM(BO4:BO6)</f>
        <v>0</v>
      </c>
      <c r="BP7" s="242">
        <f>SUM(BP4:BP6)</f>
        <v>0</v>
      </c>
      <c r="BQ7" s="242"/>
      <c r="BR7" s="242">
        <f>SUM(BR4:BR6)</f>
        <v>274635.40000000002</v>
      </c>
      <c r="BS7" s="241"/>
      <c r="BT7" s="242">
        <f>SUM(BT4:BT6)</f>
        <v>161613.24</v>
      </c>
      <c r="BU7" s="242">
        <f>SUM(BU4:BU6)</f>
        <v>47291.05</v>
      </c>
      <c r="BV7" s="242">
        <f>SUM(BV4:BV6)</f>
        <v>0</v>
      </c>
      <c r="BW7" s="242">
        <f>SUM(BW4:BW6)</f>
        <v>0</v>
      </c>
      <c r="BX7" s="242"/>
      <c r="BY7" s="242">
        <f>SUM(BY4:BY6)</f>
        <v>208904.29</v>
      </c>
      <c r="BZ7" s="241"/>
      <c r="CA7" s="242">
        <f>SUM(CA4:CA6)</f>
        <v>119679.17000000001</v>
      </c>
      <c r="CB7" s="242">
        <f>SUM(CB4:CB6)</f>
        <v>35762.31</v>
      </c>
      <c r="CC7" s="242">
        <f>SUM(CC4:CC6)</f>
        <v>0</v>
      </c>
      <c r="CD7" s="242">
        <f>SUM(CD4:CD6)</f>
        <v>0</v>
      </c>
      <c r="CE7" s="242"/>
      <c r="CF7" s="242">
        <f>SUM(CF4:CF6)</f>
        <v>155441.47999999998</v>
      </c>
      <c r="CG7" s="241"/>
      <c r="CH7" s="242">
        <f>SUM(CH4:CH6)</f>
        <v>66168.77</v>
      </c>
      <c r="CI7" s="242">
        <f>SUM(CI4:CI6)</f>
        <v>18039.349999999999</v>
      </c>
      <c r="CJ7" s="242">
        <f>SUM(CJ4:CJ6)</f>
        <v>0</v>
      </c>
      <c r="CK7" s="242">
        <f>SUM(CK4:CK6)</f>
        <v>0</v>
      </c>
      <c r="CL7" s="242"/>
      <c r="CM7" s="242">
        <f>SUM(CM4:CM6)</f>
        <v>84208.12</v>
      </c>
      <c r="CN7" s="241"/>
      <c r="CO7" s="242">
        <f>SUM(CO4:CO6)</f>
        <v>59405.2</v>
      </c>
      <c r="CP7" s="242">
        <f>SUM(CP4:CP6)</f>
        <v>15168.7</v>
      </c>
      <c r="CQ7" s="242">
        <f>SUM(CQ4:CQ6)</f>
        <v>0</v>
      </c>
      <c r="CR7" s="242">
        <f>SUM(CR4:CR6)</f>
        <v>0</v>
      </c>
      <c r="CS7" s="242"/>
      <c r="CT7" s="242">
        <f>SUM(CT4:CT6)</f>
        <v>74573.899999999994</v>
      </c>
      <c r="CU7" s="241"/>
      <c r="CV7" s="242">
        <f>SUM(CV4:CV6)</f>
        <v>265773.8</v>
      </c>
      <c r="CW7" s="242">
        <f>SUM(CW4:CW6)</f>
        <v>74520.200000000012</v>
      </c>
      <c r="CX7" s="242">
        <f>SUM(CX4:CX6)</f>
        <v>0</v>
      </c>
      <c r="CY7" s="242">
        <f>SUM(CY4:CY6)</f>
        <v>0</v>
      </c>
      <c r="CZ7" s="242"/>
      <c r="DA7" s="242">
        <f>SUM(DA4:DA6)</f>
        <v>340294</v>
      </c>
      <c r="DB7" s="241"/>
      <c r="DC7" s="242">
        <f>SUM(DC4:DC6)</f>
        <v>207743.58</v>
      </c>
      <c r="DD7" s="242">
        <f>SUM(DD4:DD6)</f>
        <v>55821.240000000005</v>
      </c>
      <c r="DE7" s="242">
        <f>SUM(DE4:DE6)</f>
        <v>0</v>
      </c>
      <c r="DF7" s="242">
        <f>SUM(DF4:DF6)</f>
        <v>0</v>
      </c>
      <c r="DG7" s="242"/>
      <c r="DH7" s="242">
        <f>SUM(DH4:DH6)</f>
        <v>263564.82</v>
      </c>
      <c r="DI7" s="241"/>
      <c r="DJ7" s="242">
        <f>SUM(DJ4:DJ6)</f>
        <v>123946.56</v>
      </c>
      <c r="DK7" s="242">
        <f>SUM(DK4:DK6)</f>
        <v>38582.639999999999</v>
      </c>
      <c r="DL7" s="242">
        <f>SUM(DL4:DL6)</f>
        <v>0</v>
      </c>
      <c r="DM7" s="242">
        <f>SUM(DM4:DM6)</f>
        <v>0</v>
      </c>
      <c r="DN7" s="242"/>
      <c r="DO7" s="242">
        <f>SUM(DO4:DO6)</f>
        <v>162529.20000000001</v>
      </c>
      <c r="DP7" s="241"/>
      <c r="DQ7" s="242">
        <f>SUM(DQ4:DQ6)</f>
        <v>49464.05</v>
      </c>
      <c r="DR7" s="242">
        <f>SUM(DR4:DR6)</f>
        <v>15952.57</v>
      </c>
      <c r="DS7" s="242">
        <f>SUM(DS4:DS6)</f>
        <v>0</v>
      </c>
      <c r="DT7" s="242">
        <f>SUM(DT4:DT6)</f>
        <v>0</v>
      </c>
      <c r="DU7" s="242"/>
      <c r="DV7" s="242">
        <f>SUM(DV4:DV6)</f>
        <v>65416.62</v>
      </c>
      <c r="DW7" s="241"/>
      <c r="DX7" s="242">
        <f>SUM(DX4:DX6)</f>
        <v>213135.92</v>
      </c>
      <c r="DY7" s="242">
        <f>SUM(DY4:DY6)</f>
        <v>100829.28</v>
      </c>
      <c r="DZ7" s="242">
        <f>SUM(DZ4:DZ6)</f>
        <v>0</v>
      </c>
      <c r="EA7" s="242">
        <f>SUM(EA4:EA6)</f>
        <v>0</v>
      </c>
      <c r="EB7" s="242"/>
      <c r="EC7" s="242">
        <f>SUM(EC4:EC6)</f>
        <v>313965.2</v>
      </c>
      <c r="ED7" s="241"/>
      <c r="EE7" s="242">
        <f>SUM(EE4:EE6)</f>
        <v>163242.53000000003</v>
      </c>
      <c r="EF7" s="242">
        <f>SUM(EF4:EF6)</f>
        <v>77664.3</v>
      </c>
      <c r="EG7" s="242">
        <f>SUM(EG4:EG6)</f>
        <v>0</v>
      </c>
      <c r="EH7" s="242">
        <f>SUM(EH4:EH6)</f>
        <v>0</v>
      </c>
      <c r="EI7" s="242"/>
      <c r="EJ7" s="242">
        <f>SUM(EJ4:EJ6)</f>
        <v>240906.83000000002</v>
      </c>
      <c r="EK7" s="241"/>
      <c r="EL7" s="242">
        <f>SUM(EL4:EL6)</f>
        <v>104028.25</v>
      </c>
      <c r="EM7" s="242">
        <f>SUM(EM4:EM6)</f>
        <v>49753.369999999995</v>
      </c>
      <c r="EN7" s="242">
        <f>SUM(EN4:EN6)</f>
        <v>0</v>
      </c>
      <c r="EO7" s="242">
        <f>SUM(EO4:EO6)</f>
        <v>0</v>
      </c>
      <c r="EP7" s="242"/>
      <c r="EQ7" s="242">
        <f>SUM(EQ4:EQ6)</f>
        <v>153781.61999999997</v>
      </c>
      <c r="ER7" s="241"/>
      <c r="ES7" s="242">
        <f>SUM(ES4:ES6)</f>
        <v>48414.479999999996</v>
      </c>
      <c r="ET7" s="242">
        <f>SUM(ET4:ET6)</f>
        <v>23004.79</v>
      </c>
      <c r="EU7" s="242">
        <f>SUM(EU4:EU6)</f>
        <v>0</v>
      </c>
      <c r="EV7" s="242">
        <f>SUM(EV4:EV6)</f>
        <v>0</v>
      </c>
      <c r="EW7" s="242"/>
      <c r="EX7" s="242">
        <f>SUM(EX4:EX6)</f>
        <v>71419.27</v>
      </c>
      <c r="EY7" s="241"/>
      <c r="EZ7" s="242">
        <f>SUM(EZ4:EZ6)</f>
        <v>398876.32</v>
      </c>
      <c r="FA7" s="242">
        <f>SUM(FA4:FA6)</f>
        <v>125846.14000000001</v>
      </c>
      <c r="FB7" s="242">
        <f>SUM(FB4:FB6)</f>
        <v>0</v>
      </c>
      <c r="FC7" s="242">
        <f>SUM(FC4:FC6)</f>
        <v>0</v>
      </c>
      <c r="FD7" s="242"/>
      <c r="FE7" s="242">
        <f>SUM(FE4:FE6)</f>
        <v>524722.46</v>
      </c>
      <c r="FF7" s="241"/>
      <c r="FG7" s="242">
        <f>SUM(FG4:FG6)</f>
        <v>344483.11</v>
      </c>
      <c r="FH7" s="242">
        <f>SUM(FH4:FH6)</f>
        <v>96186.07</v>
      </c>
      <c r="FI7" s="242">
        <f>SUM(FI4:FI6)</f>
        <v>0</v>
      </c>
      <c r="FJ7" s="242">
        <f>SUM(FJ4:FJ6)</f>
        <v>0</v>
      </c>
      <c r="FK7" s="242"/>
      <c r="FL7" s="242">
        <f>SUM(FL4:FL6)</f>
        <v>440669.17999999993</v>
      </c>
      <c r="FM7" s="241"/>
      <c r="FN7" s="242">
        <f>SUM(FN4:FN6)</f>
        <v>283579.01</v>
      </c>
      <c r="FO7" s="242">
        <f>SUM(FO4:FO6)</f>
        <v>58104.130000000005</v>
      </c>
      <c r="FP7" s="242">
        <f>SUM(FP4:FP6)</f>
        <v>0</v>
      </c>
      <c r="FQ7" s="242">
        <f>SUM(FQ4:FQ6)</f>
        <v>0</v>
      </c>
      <c r="FR7" s="242"/>
      <c r="FS7" s="242">
        <f>SUM(FS4:FS6)</f>
        <v>341683.13999999996</v>
      </c>
      <c r="FT7" s="241"/>
      <c r="FU7" s="242">
        <f>SUM(FU4:FU6)</f>
        <v>55162.879999999997</v>
      </c>
      <c r="FV7" s="242">
        <f>SUM(FV4:FV6)</f>
        <v>30917.989999999998</v>
      </c>
      <c r="FW7" s="242">
        <f>SUM(FW4:FW6)</f>
        <v>0</v>
      </c>
      <c r="FX7" s="242">
        <f>SUM(FX4:FX6)</f>
        <v>0</v>
      </c>
      <c r="FY7" s="242"/>
      <c r="FZ7" s="242">
        <f>SUM(FZ4:FZ6)</f>
        <v>86080.87</v>
      </c>
      <c r="GB7" s="242">
        <f>SUM(GB4:GB6)</f>
        <v>307829.83</v>
      </c>
      <c r="GC7" s="242">
        <f>SUM(GC4:GC6)</f>
        <v>111832.48</v>
      </c>
      <c r="GD7" s="242">
        <f>SUM(GD4:GD6)</f>
        <v>0</v>
      </c>
      <c r="GE7" s="242">
        <f>SUM(GE4:GE6)</f>
        <v>0</v>
      </c>
      <c r="GF7" s="242"/>
      <c r="GG7" s="242">
        <f>SUM(GG4:GG6)</f>
        <v>419662.31</v>
      </c>
      <c r="GI7" s="242">
        <f>SUM(GI4:GI6)</f>
        <v>240036.16999999998</v>
      </c>
      <c r="GJ7" s="242">
        <f>SUM(GJ4:GJ6)</f>
        <v>86698.59</v>
      </c>
      <c r="GK7" s="242">
        <f>SUM(GK4:GK6)</f>
        <v>0</v>
      </c>
      <c r="GL7" s="242">
        <f>SUM(GL4:GL6)</f>
        <v>0</v>
      </c>
      <c r="GM7" s="242"/>
      <c r="GN7" s="242">
        <f>SUM(GN4:GN6)</f>
        <v>326734.75999999995</v>
      </c>
      <c r="GP7" s="242">
        <f>SUM(GP4:GP6)</f>
        <v>169123.02</v>
      </c>
      <c r="GQ7" s="242">
        <f>SUM(GQ4:GQ6)</f>
        <v>63494.39</v>
      </c>
      <c r="GR7" s="242">
        <f>SUM(GR4:GR6)</f>
        <v>0</v>
      </c>
      <c r="GS7" s="242">
        <f>SUM(GS4:GS6)</f>
        <v>0</v>
      </c>
      <c r="GT7" s="242"/>
      <c r="GU7" s="242">
        <f>SUM(GU4:GU6)</f>
        <v>232617.41</v>
      </c>
      <c r="GW7" s="242">
        <f>SUM(GW4:GW6)</f>
        <v>75224.240000000005</v>
      </c>
      <c r="GX7" s="242">
        <f>SUM(GX4:GX6)</f>
        <v>32798.31</v>
      </c>
      <c r="GY7" s="242">
        <f>SUM(GY4:GY6)</f>
        <v>0</v>
      </c>
      <c r="GZ7" s="242">
        <f>SUM(GZ4:GZ6)</f>
        <v>0</v>
      </c>
      <c r="HA7" s="242"/>
      <c r="HB7" s="242">
        <f>SUM(HB4:HB6)</f>
        <v>108022.54999999999</v>
      </c>
    </row>
    <row r="8" spans="1:211" ht="12.75" customHeight="1">
      <c r="B8" s="82"/>
      <c r="I8" s="82"/>
      <c r="P8" s="82"/>
      <c r="W8" s="82"/>
      <c r="AD8" s="82"/>
      <c r="AK8" s="82"/>
      <c r="AR8" s="82"/>
      <c r="AY8" s="82"/>
      <c r="BF8" s="82"/>
      <c r="BM8" s="82"/>
      <c r="BT8" s="82"/>
      <c r="CA8" s="82"/>
      <c r="CH8" s="82"/>
      <c r="CO8" s="82"/>
      <c r="CV8" s="82"/>
      <c r="DC8" s="82"/>
      <c r="DJ8" s="82"/>
      <c r="DQ8" s="82"/>
      <c r="DX8" s="82"/>
      <c r="EE8" s="82"/>
      <c r="EL8" s="82"/>
      <c r="ES8" s="82"/>
      <c r="EZ8" s="82"/>
      <c r="FG8" s="82"/>
      <c r="FN8" s="82"/>
      <c r="FU8" s="82"/>
      <c r="GB8" s="82"/>
      <c r="GI8" s="82"/>
      <c r="GP8" s="82"/>
      <c r="GW8" s="82"/>
    </row>
    <row r="9" spans="1:211" ht="12.75" customHeight="1">
      <c r="B9" s="82"/>
      <c r="I9" s="82"/>
      <c r="P9" s="82"/>
      <c r="W9" s="82"/>
      <c r="AD9" s="82"/>
      <c r="AK9" s="82"/>
      <c r="AR9" s="82"/>
      <c r="AY9" s="82"/>
      <c r="BF9" s="82"/>
      <c r="BM9" s="82"/>
      <c r="BT9" s="82"/>
      <c r="CA9" s="82"/>
      <c r="CH9" s="82"/>
      <c r="CO9" s="82"/>
      <c r="CV9" s="82"/>
      <c r="DC9" s="82"/>
      <c r="DJ9" s="82"/>
      <c r="DQ9" s="82"/>
      <c r="DX9" s="82"/>
      <c r="EE9" s="82"/>
      <c r="EL9" s="82"/>
      <c r="ES9" s="82"/>
      <c r="EZ9" s="82"/>
      <c r="FG9" s="82"/>
      <c r="FN9" s="82"/>
      <c r="FU9" s="82"/>
      <c r="GB9" s="82"/>
      <c r="GI9" s="82"/>
      <c r="GP9" s="82"/>
      <c r="GW9" s="82"/>
    </row>
    <row r="10" spans="1:211" ht="12.75" customHeight="1">
      <c r="A10" s="270" t="s">
        <v>496</v>
      </c>
      <c r="B10" s="271" t="s">
        <v>431</v>
      </c>
      <c r="C10" s="271" t="s">
        <v>253</v>
      </c>
      <c r="D10" s="270"/>
      <c r="E10" s="270"/>
      <c r="F10" s="270"/>
      <c r="G10" s="247" t="s">
        <v>381</v>
      </c>
      <c r="H10" s="270"/>
      <c r="I10" s="271" t="s">
        <v>431</v>
      </c>
      <c r="J10" s="271" t="s">
        <v>253</v>
      </c>
      <c r="K10" s="270"/>
      <c r="L10" s="270"/>
      <c r="M10" s="270"/>
      <c r="N10" s="247" t="s">
        <v>381</v>
      </c>
      <c r="O10" s="270"/>
      <c r="P10" s="271" t="s">
        <v>431</v>
      </c>
      <c r="Q10" s="271" t="s">
        <v>253</v>
      </c>
      <c r="R10" s="270"/>
      <c r="S10" s="270"/>
      <c r="T10" s="270"/>
      <c r="U10" s="247" t="s">
        <v>381</v>
      </c>
      <c r="V10" s="270"/>
      <c r="W10" s="271" t="s">
        <v>431</v>
      </c>
      <c r="X10" s="271" t="s">
        <v>253</v>
      </c>
      <c r="Y10" s="270"/>
      <c r="Z10" s="270"/>
      <c r="AA10" s="270"/>
      <c r="AB10" s="247" t="s">
        <v>381</v>
      </c>
      <c r="AC10" s="247"/>
      <c r="AD10" s="271" t="s">
        <v>431</v>
      </c>
      <c r="AE10" s="271" t="s">
        <v>253</v>
      </c>
      <c r="AF10" s="270"/>
      <c r="AG10" s="270"/>
      <c r="AH10" s="270"/>
      <c r="AI10" s="247" t="s">
        <v>381</v>
      </c>
      <c r="AJ10" s="247"/>
      <c r="AK10" s="271" t="s">
        <v>431</v>
      </c>
      <c r="AL10" s="271" t="s">
        <v>253</v>
      </c>
      <c r="AM10" s="270"/>
      <c r="AN10" s="270"/>
      <c r="AO10" s="270"/>
      <c r="AP10" s="247" t="s">
        <v>381</v>
      </c>
      <c r="AQ10" s="247"/>
      <c r="AR10" s="271" t="s">
        <v>431</v>
      </c>
      <c r="AS10" s="271" t="s">
        <v>253</v>
      </c>
      <c r="AT10" s="270"/>
      <c r="AU10" s="270"/>
      <c r="AV10" s="270"/>
      <c r="AW10" s="247" t="s">
        <v>381</v>
      </c>
      <c r="AX10" s="247"/>
      <c r="AY10" s="271" t="s">
        <v>431</v>
      </c>
      <c r="AZ10" s="271" t="s">
        <v>253</v>
      </c>
      <c r="BA10" s="270"/>
      <c r="BB10" s="270"/>
      <c r="BC10" s="270"/>
      <c r="BD10" s="247" t="s">
        <v>381</v>
      </c>
      <c r="BE10" s="247"/>
      <c r="BF10" s="271" t="s">
        <v>431</v>
      </c>
      <c r="BG10" s="271" t="s">
        <v>253</v>
      </c>
      <c r="BH10" s="270"/>
      <c r="BI10" s="270"/>
      <c r="BJ10" s="270"/>
      <c r="BK10" s="247" t="s">
        <v>381</v>
      </c>
      <c r="BL10" s="247"/>
      <c r="BM10" s="271" t="s">
        <v>431</v>
      </c>
      <c r="BN10" s="271" t="s">
        <v>253</v>
      </c>
      <c r="BO10" s="270"/>
      <c r="BP10" s="270"/>
      <c r="BQ10" s="270"/>
      <c r="BR10" s="247" t="s">
        <v>381</v>
      </c>
      <c r="BS10" s="247"/>
      <c r="BT10" s="271" t="s">
        <v>431</v>
      </c>
      <c r="BU10" s="271" t="s">
        <v>253</v>
      </c>
      <c r="BV10" s="270"/>
      <c r="BW10" s="270"/>
      <c r="BX10" s="270"/>
      <c r="BY10" s="247" t="s">
        <v>381</v>
      </c>
      <c r="BZ10" s="247"/>
      <c r="CA10" s="271" t="s">
        <v>431</v>
      </c>
      <c r="CB10" s="271" t="s">
        <v>253</v>
      </c>
      <c r="CC10" s="270"/>
      <c r="CD10" s="270"/>
      <c r="CE10" s="270"/>
      <c r="CF10" s="247" t="s">
        <v>381</v>
      </c>
      <c r="CG10" s="247"/>
      <c r="CH10" s="271" t="s">
        <v>431</v>
      </c>
      <c r="CI10" s="271" t="s">
        <v>253</v>
      </c>
      <c r="CJ10" s="270"/>
      <c r="CK10" s="270"/>
      <c r="CL10" s="270"/>
      <c r="CM10" s="247" t="s">
        <v>381</v>
      </c>
      <c r="CN10" s="247"/>
      <c r="CO10" s="271" t="s">
        <v>431</v>
      </c>
      <c r="CP10" s="271" t="s">
        <v>253</v>
      </c>
      <c r="CQ10" s="270"/>
      <c r="CR10" s="270"/>
      <c r="CS10" s="270"/>
      <c r="CT10" s="247" t="s">
        <v>381</v>
      </c>
      <c r="CU10" s="247"/>
      <c r="CV10" s="271" t="s">
        <v>431</v>
      </c>
      <c r="CW10" s="271" t="s">
        <v>253</v>
      </c>
      <c r="CX10" s="270"/>
      <c r="CY10" s="270"/>
      <c r="CZ10" s="270"/>
      <c r="DA10" s="247" t="s">
        <v>381</v>
      </c>
      <c r="DB10" s="247"/>
      <c r="DC10" s="271" t="s">
        <v>431</v>
      </c>
      <c r="DD10" s="271" t="s">
        <v>253</v>
      </c>
      <c r="DE10" s="270"/>
      <c r="DF10" s="270"/>
      <c r="DG10" s="270"/>
      <c r="DH10" s="247" t="s">
        <v>381</v>
      </c>
      <c r="DI10" s="247"/>
      <c r="DJ10" s="271" t="s">
        <v>431</v>
      </c>
      <c r="DK10" s="271" t="s">
        <v>253</v>
      </c>
      <c r="DL10" s="270"/>
      <c r="DM10" s="270"/>
      <c r="DN10" s="270"/>
      <c r="DO10" s="247" t="s">
        <v>381</v>
      </c>
      <c r="DP10" s="247"/>
      <c r="DQ10" s="271" t="s">
        <v>431</v>
      </c>
      <c r="DR10" s="271" t="s">
        <v>253</v>
      </c>
      <c r="DS10" s="270"/>
      <c r="DT10" s="270"/>
      <c r="DU10" s="270"/>
      <c r="DV10" s="247" t="s">
        <v>381</v>
      </c>
      <c r="DW10" s="247"/>
      <c r="DX10" s="271" t="s">
        <v>431</v>
      </c>
      <c r="DY10" s="271" t="s">
        <v>253</v>
      </c>
      <c r="DZ10" s="270"/>
      <c r="EA10" s="270"/>
      <c r="EB10" s="270"/>
      <c r="EC10" s="247" t="s">
        <v>381</v>
      </c>
      <c r="ED10" s="247"/>
      <c r="EE10" s="271" t="s">
        <v>431</v>
      </c>
      <c r="EF10" s="271" t="s">
        <v>253</v>
      </c>
      <c r="EG10" s="270"/>
      <c r="EH10" s="270"/>
      <c r="EI10" s="270"/>
      <c r="EJ10" s="247" t="s">
        <v>381</v>
      </c>
      <c r="EK10" s="247"/>
      <c r="EL10" s="271" t="s">
        <v>431</v>
      </c>
      <c r="EM10" s="271" t="s">
        <v>253</v>
      </c>
      <c r="EN10" s="270"/>
      <c r="EO10" s="270"/>
      <c r="EP10" s="270"/>
      <c r="EQ10" s="247" t="s">
        <v>381</v>
      </c>
      <c r="ER10" s="247"/>
      <c r="ES10" s="271" t="s">
        <v>431</v>
      </c>
      <c r="ET10" s="271" t="s">
        <v>253</v>
      </c>
      <c r="EU10" s="270"/>
      <c r="EV10" s="270"/>
      <c r="EW10" s="270"/>
      <c r="EX10" s="247" t="s">
        <v>381</v>
      </c>
      <c r="EY10" s="247"/>
      <c r="EZ10" s="271" t="s">
        <v>431</v>
      </c>
      <c r="FA10" s="271" t="s">
        <v>253</v>
      </c>
      <c r="FB10" s="270"/>
      <c r="FC10" s="270"/>
      <c r="FD10" s="270"/>
      <c r="FE10" s="247" t="s">
        <v>381</v>
      </c>
      <c r="FF10" s="247"/>
      <c r="FG10" s="271" t="s">
        <v>431</v>
      </c>
      <c r="FH10" s="271" t="s">
        <v>253</v>
      </c>
      <c r="FI10" s="270"/>
      <c r="FJ10" s="270"/>
      <c r="FK10" s="270"/>
      <c r="FL10" s="247" t="s">
        <v>381</v>
      </c>
      <c r="FM10" s="247"/>
      <c r="FN10" s="271" t="s">
        <v>431</v>
      </c>
      <c r="FO10" s="271" t="s">
        <v>253</v>
      </c>
      <c r="FP10" s="270"/>
      <c r="FQ10" s="270"/>
      <c r="FR10" s="270"/>
      <c r="FS10" s="247" t="s">
        <v>381</v>
      </c>
      <c r="FT10" s="247"/>
      <c r="FU10" s="271" t="s">
        <v>431</v>
      </c>
      <c r="FV10" s="271" t="s">
        <v>253</v>
      </c>
      <c r="FW10" s="270"/>
      <c r="FX10" s="270"/>
      <c r="FY10" s="270"/>
      <c r="FZ10" s="247" t="s">
        <v>381</v>
      </c>
      <c r="GA10" s="270"/>
      <c r="GB10" s="271" t="s">
        <v>431</v>
      </c>
      <c r="GC10" s="271" t="s">
        <v>253</v>
      </c>
      <c r="GD10" s="270"/>
      <c r="GE10" s="270"/>
      <c r="GF10" s="270"/>
      <c r="GG10" s="247" t="s">
        <v>381</v>
      </c>
      <c r="GH10" s="270"/>
      <c r="GI10" s="271" t="s">
        <v>431</v>
      </c>
      <c r="GJ10" s="271" t="s">
        <v>253</v>
      </c>
      <c r="GK10" s="270"/>
      <c r="GL10" s="270"/>
      <c r="GM10" s="270"/>
      <c r="GN10" s="247" t="s">
        <v>381</v>
      </c>
      <c r="GO10" s="270"/>
      <c r="GP10" s="271" t="s">
        <v>431</v>
      </c>
      <c r="GQ10" s="271" t="s">
        <v>253</v>
      </c>
      <c r="GR10" s="270"/>
      <c r="GS10" s="270"/>
      <c r="GT10" s="270"/>
      <c r="GU10" s="247" t="s">
        <v>381</v>
      </c>
      <c r="GV10" s="270"/>
      <c r="GW10" s="271" t="s">
        <v>431</v>
      </c>
      <c r="GX10" s="271" t="s">
        <v>253</v>
      </c>
      <c r="GY10" s="270"/>
      <c r="GZ10" s="270"/>
      <c r="HA10" s="270"/>
      <c r="HB10" s="247" t="s">
        <v>381</v>
      </c>
      <c r="HC10" s="270"/>
    </row>
    <row r="11" spans="1:211" ht="12.75" customHeight="1">
      <c r="A11" s="270" t="s">
        <v>2469</v>
      </c>
      <c r="B11" s="272">
        <f>-SUMPRODUCT((Alcom!$B$3:$B$2399="3rd party revenue")*(MONTH(date)&lt;=MONTH('ANSC-TB'!$G$5)),(Alcom!$K$3:$V$2399))</f>
        <v>42903478.889999993</v>
      </c>
      <c r="C11" s="272">
        <f>-SUMPRODUCT((ANSC!$B$3:$B$2399="3rd party revenue")*(MONTH(date)&lt;=MONTH('ANSC-TB'!$G$5)),(ANSC!$K$3:$V$2399))</f>
        <v>35125238.539999992</v>
      </c>
      <c r="D11" s="270"/>
      <c r="E11" s="270"/>
      <c r="F11" s="442"/>
      <c r="G11" s="82">
        <f>SUM(B11:F11)</f>
        <v>78028717.429999977</v>
      </c>
      <c r="H11" s="270"/>
      <c r="I11" s="272">
        <v>181617880.57999986</v>
      </c>
      <c r="J11" s="272">
        <v>117068430.23999999</v>
      </c>
      <c r="K11" s="270"/>
      <c r="L11" s="270"/>
      <c r="M11" s="442"/>
      <c r="N11" s="82">
        <f>SUM(I11:M11)</f>
        <v>298686310.81999987</v>
      </c>
      <c r="O11" s="270"/>
      <c r="P11" s="272">
        <v>134350123.91999999</v>
      </c>
      <c r="Q11" s="272">
        <v>82215632.049999982</v>
      </c>
      <c r="R11" s="270"/>
      <c r="S11" s="270"/>
      <c r="T11" s="442"/>
      <c r="U11" s="82">
        <f>SUM(P11:T11)</f>
        <v>216565755.96999997</v>
      </c>
      <c r="V11" s="270"/>
      <c r="W11" s="272">
        <v>90172850.399999991</v>
      </c>
      <c r="X11" s="272">
        <v>55948198.530000001</v>
      </c>
      <c r="Y11" s="270"/>
      <c r="Z11" s="270"/>
      <c r="AA11" s="442"/>
      <c r="AB11" s="82">
        <f>SUM(W11:AA11)</f>
        <v>146121048.93000001</v>
      </c>
      <c r="AD11" s="272">
        <v>72057410.090000004</v>
      </c>
      <c r="AE11" s="272">
        <f>28760725.19</f>
        <v>28760725.190000001</v>
      </c>
      <c r="AF11" s="270"/>
      <c r="AG11" s="270"/>
      <c r="AH11" s="442">
        <v>-26072079.629999999</v>
      </c>
      <c r="AI11" s="82">
        <f>SUM(AD11:AH11)</f>
        <v>74746055.650000006</v>
      </c>
      <c r="AK11" s="272">
        <v>243608645.11000001</v>
      </c>
      <c r="AL11" s="272">
        <v>93654734.299999997</v>
      </c>
      <c r="AM11" s="270"/>
      <c r="AN11" s="270"/>
      <c r="AO11" s="442">
        <v>-81371947</v>
      </c>
      <c r="AP11" s="82">
        <f>SUM(AK11:AO11)</f>
        <v>255891432.41000003</v>
      </c>
      <c r="AR11" s="272">
        <v>171415998.91</v>
      </c>
      <c r="AS11" s="272">
        <v>65461477.229999997</v>
      </c>
      <c r="AT11" s="270"/>
      <c r="AU11" s="270"/>
      <c r="AV11" s="442">
        <v>-56288801.859999999</v>
      </c>
      <c r="AW11" s="82">
        <f>SUM(AR11:AV11)</f>
        <v>180588674.27999997</v>
      </c>
      <c r="AY11" s="272">
        <v>105200240.02</v>
      </c>
      <c r="AZ11" s="272">
        <v>43249759.390000001</v>
      </c>
      <c r="BA11" s="270"/>
      <c r="BB11" s="270"/>
      <c r="BC11" s="442">
        <v>-34781873.060000002</v>
      </c>
      <c r="BD11" s="82">
        <f>SUM(AY11:BC11)</f>
        <v>113668126.34999999</v>
      </c>
      <c r="BF11" s="272">
        <v>48457950.240000002</v>
      </c>
      <c r="BG11" s="272">
        <v>23635382.68</v>
      </c>
      <c r="BH11" s="270"/>
      <c r="BI11" s="270"/>
      <c r="BJ11" s="442">
        <v>-19523292.09</v>
      </c>
      <c r="BK11" s="82">
        <f>SUM(BF11:BJ11)</f>
        <v>52570040.829999998</v>
      </c>
      <c r="BM11" s="272">
        <v>288014153.31</v>
      </c>
      <c r="BN11" s="272">
        <v>118816408.63</v>
      </c>
      <c r="BO11" s="270"/>
      <c r="BP11" s="270"/>
      <c r="BQ11" s="274">
        <v>-102370325.15000001</v>
      </c>
      <c r="BR11" s="82">
        <f>SUM(BM11:BQ11)</f>
        <v>304460236.78999996</v>
      </c>
      <c r="BT11" s="272">
        <v>250881277.12</v>
      </c>
      <c r="BU11" s="272">
        <v>98645307.870000005</v>
      </c>
      <c r="BV11" s="270"/>
      <c r="BW11" s="270"/>
      <c r="BX11" s="270"/>
      <c r="BY11" s="82">
        <f>SUM(BT11:BX11)</f>
        <v>349526584.99000001</v>
      </c>
      <c r="CA11" s="272">
        <v>187217837.03999999</v>
      </c>
      <c r="CB11" s="272">
        <v>69044827.900000006</v>
      </c>
      <c r="CC11" s="270"/>
      <c r="CD11" s="270"/>
      <c r="CE11" s="270"/>
      <c r="CF11" s="82">
        <f>SUM(CA11:CE11)</f>
        <v>256262664.94</v>
      </c>
      <c r="CH11" s="272">
        <v>96190982.900000006</v>
      </c>
      <c r="CI11" s="272">
        <v>38860709.490000002</v>
      </c>
      <c r="CJ11" s="270"/>
      <c r="CK11" s="270"/>
      <c r="CL11" s="270"/>
      <c r="CM11" s="82">
        <f>SUM(CH11:CL11)</f>
        <v>135051692.39000002</v>
      </c>
      <c r="CO11" s="272">
        <v>94046017.159999996</v>
      </c>
      <c r="CP11" s="272">
        <v>39240958.670000002</v>
      </c>
      <c r="CQ11" s="270"/>
      <c r="CR11" s="270"/>
      <c r="CS11" s="270"/>
      <c r="CT11" s="82">
        <f>SUM(CO11:CS11)</f>
        <v>133286975.83</v>
      </c>
      <c r="CV11" s="272">
        <v>380713394.39999998</v>
      </c>
      <c r="CW11" s="272">
        <v>129348054.46000001</v>
      </c>
      <c r="CX11" s="270"/>
      <c r="CY11" s="270"/>
      <c r="CZ11" s="270"/>
      <c r="DA11" s="82">
        <f>SUM(CV11:CZ11)</f>
        <v>510061448.86000001</v>
      </c>
      <c r="DC11" s="272">
        <v>293471604.94</v>
      </c>
      <c r="DD11" s="272">
        <v>101917118.12</v>
      </c>
      <c r="DE11" s="270"/>
      <c r="DF11" s="270"/>
      <c r="DG11" s="270"/>
      <c r="DH11" s="82">
        <f>SUM(DC11:DG11)</f>
        <v>395388723.06</v>
      </c>
      <c r="DJ11" s="272">
        <v>198477793.91999999</v>
      </c>
      <c r="DK11" s="272">
        <v>72703626.659999996</v>
      </c>
      <c r="DL11" s="270"/>
      <c r="DM11" s="270"/>
      <c r="DN11" s="270"/>
      <c r="DO11" s="82">
        <f>SUM(DJ11:DN11)</f>
        <v>271181420.57999998</v>
      </c>
      <c r="DQ11" s="272">
        <v>95488827.900000006</v>
      </c>
      <c r="DR11" s="272">
        <v>35300456.950000003</v>
      </c>
      <c r="DS11" s="270"/>
      <c r="DT11" s="270"/>
      <c r="DU11" s="270"/>
      <c r="DV11" s="82">
        <f>SUM(DQ11:DU11)</f>
        <v>130789284.85000001</v>
      </c>
      <c r="DX11" s="272">
        <v>345563180.38999999</v>
      </c>
      <c r="DY11" s="272">
        <v>128667647.31</v>
      </c>
      <c r="DZ11" s="270"/>
      <c r="EA11" s="270"/>
      <c r="EB11" s="270"/>
      <c r="EC11" s="82">
        <f>SUM(DX11:EB11)</f>
        <v>474230827.69999999</v>
      </c>
      <c r="EE11" s="272">
        <v>263152701.78999999</v>
      </c>
      <c r="EF11" s="272">
        <v>101089911.76000001</v>
      </c>
      <c r="EG11" s="270"/>
      <c r="EH11" s="270"/>
      <c r="EI11" s="270"/>
      <c r="EJ11" s="82">
        <f>SUM(EE11:EI11)</f>
        <v>364242613.55000001</v>
      </c>
      <c r="EL11" s="272">
        <v>178020693.47</v>
      </c>
      <c r="EM11" s="272">
        <v>78167792.609999999</v>
      </c>
      <c r="EN11" s="270"/>
      <c r="EO11" s="270"/>
      <c r="EP11" s="270"/>
      <c r="EQ11" s="82">
        <f>SUM(EL11:EP11)</f>
        <v>256188486.07999998</v>
      </c>
      <c r="ES11" s="272">
        <v>83652798.019999996</v>
      </c>
      <c r="ET11" s="272">
        <v>38600799.640000001</v>
      </c>
      <c r="EU11" s="270"/>
      <c r="EV11" s="270"/>
      <c r="EW11" s="270"/>
      <c r="EX11" s="82">
        <f>SUM(ES11:EW11)</f>
        <v>122253597.66</v>
      </c>
      <c r="EZ11" s="272">
        <v>292679994.81999999</v>
      </c>
      <c r="FA11" s="272">
        <v>118581492.93000001</v>
      </c>
      <c r="FB11" s="270"/>
      <c r="FC11" s="270"/>
      <c r="FD11" s="270"/>
      <c r="FE11" s="82">
        <f>SUM(EZ11:FD11)</f>
        <v>411261487.75</v>
      </c>
      <c r="FG11" s="272">
        <v>223950240.03999999</v>
      </c>
      <c r="FH11" s="272">
        <v>93381557.790000007</v>
      </c>
      <c r="FI11" s="270"/>
      <c r="FJ11" s="270"/>
      <c r="FK11" s="270"/>
      <c r="FL11" s="82">
        <f>SUM(FG11:FK11)</f>
        <v>317331797.82999998</v>
      </c>
      <c r="FN11" s="272">
        <v>152774194.06</v>
      </c>
      <c r="FO11" s="272">
        <v>71199640.819999993</v>
      </c>
      <c r="FP11" s="270"/>
      <c r="FQ11" s="270"/>
      <c r="FR11" s="270"/>
      <c r="FS11">
        <f>SUM(FN11:FQ11)</f>
        <v>223973834.88</v>
      </c>
      <c r="FU11" s="272">
        <v>74409497.329999998</v>
      </c>
      <c r="FV11" s="272">
        <v>34026327.619999997</v>
      </c>
      <c r="FW11" s="270"/>
      <c r="FX11" s="270"/>
      <c r="FY11" s="270"/>
      <c r="FZ11">
        <f>SUM(FU11:FX11)</f>
        <v>108435824.94999999</v>
      </c>
      <c r="GA11" s="270"/>
      <c r="GB11" s="272">
        <f>259013290.6</f>
        <v>259013290.59999999</v>
      </c>
      <c r="GC11" s="272">
        <v>101073938.13</v>
      </c>
      <c r="GD11" s="270"/>
      <c r="GE11" s="270"/>
      <c r="GF11" s="270"/>
      <c r="GG11">
        <f>SUM(GB11:GE11)</f>
        <v>360087228.73000002</v>
      </c>
      <c r="GH11" s="270"/>
      <c r="GI11" s="272">
        <v>194761248.44</v>
      </c>
      <c r="GJ11" s="281">
        <v>77708679.640000001</v>
      </c>
      <c r="GK11" s="270"/>
      <c r="GL11" s="270"/>
      <c r="GM11" s="270"/>
      <c r="GN11">
        <f>SUM(GI11:GL11)</f>
        <v>272469928.07999998</v>
      </c>
      <c r="GO11" s="270"/>
      <c r="GP11" s="272">
        <v>130220407.81999999</v>
      </c>
      <c r="GQ11" s="281">
        <v>56228344.119999997</v>
      </c>
      <c r="GR11" s="270"/>
      <c r="GS11" s="270"/>
      <c r="GT11" s="270"/>
      <c r="GU11">
        <f>SUM(GP11:GS11)</f>
        <v>186448751.94</v>
      </c>
      <c r="GV11" s="270"/>
      <c r="GW11" s="272">
        <v>63823132.619999997</v>
      </c>
      <c r="GX11" s="281">
        <v>27023095.370000001</v>
      </c>
      <c r="GY11" s="270"/>
      <c r="GZ11" s="270"/>
      <c r="HA11" s="270"/>
      <c r="HB11">
        <f>SUM(GW11:GZ11)</f>
        <v>90846227.989999995</v>
      </c>
      <c r="HC11" s="270"/>
    </row>
    <row r="12" spans="1:211" ht="12.75" customHeight="1">
      <c r="A12" s="270" t="s">
        <v>2470</v>
      </c>
      <c r="B12" s="272">
        <f>-SUMPRODUCT((Alcom!$B$3:$B$2399="interco revenue")*(MONTH(date)&lt;=MONTH('ANSC-TB'!$G$5)),(Alcom!$K$3:$V$2399))</f>
        <v>34707362.07</v>
      </c>
      <c r="C12" s="272">
        <f>-SUMPRODUCT((ANSC!$B$3:$B$2399="interco revenue")*(MONTH(date)&lt;=MONTH('ANSC-TB'!$G$5)),(ANSC!$K$3:$V$2399))</f>
        <v>0</v>
      </c>
      <c r="D12" s="270"/>
      <c r="E12" s="270"/>
      <c r="F12" s="442">
        <f>-B12</f>
        <v>-34707362.07</v>
      </c>
      <c r="G12" s="82">
        <f>SUM(B12:F12)</f>
        <v>0</v>
      </c>
      <c r="H12" s="270"/>
      <c r="I12" s="272">
        <v>107316102.28000002</v>
      </c>
      <c r="J12" s="272">
        <v>0</v>
      </c>
      <c r="K12" s="270"/>
      <c r="L12" s="270"/>
      <c r="M12" s="442">
        <v>-107316102.28000002</v>
      </c>
      <c r="N12" s="82">
        <f>SUM(I12:M12)</f>
        <v>0</v>
      </c>
      <c r="O12" s="270"/>
      <c r="P12" s="272">
        <v>77478426.160000011</v>
      </c>
      <c r="Q12" s="272">
        <v>0</v>
      </c>
      <c r="R12" s="270"/>
      <c r="S12" s="270"/>
      <c r="T12" s="442">
        <v>-77478426.160000011</v>
      </c>
      <c r="U12" s="82">
        <f>SUM(P12:T12)</f>
        <v>0</v>
      </c>
      <c r="V12" s="270"/>
      <c r="W12" s="272">
        <v>50037987.690000005</v>
      </c>
      <c r="X12" s="272">
        <v>0</v>
      </c>
      <c r="Y12" s="270"/>
      <c r="Z12" s="270"/>
      <c r="AA12" s="442">
        <v>-50037987.690000005</v>
      </c>
      <c r="AB12" s="82">
        <f>SUM(W12:AA12)</f>
        <v>0</v>
      </c>
      <c r="AD12" s="272"/>
      <c r="AE12" s="272"/>
      <c r="AF12" s="270"/>
      <c r="AG12" s="270"/>
      <c r="AH12" s="442"/>
      <c r="AI12" s="82"/>
      <c r="AK12" s="272"/>
      <c r="AL12" s="272"/>
      <c r="AM12" s="270"/>
      <c r="AN12" s="270"/>
      <c r="AO12" s="442"/>
      <c r="AP12" s="82"/>
      <c r="AR12" s="272"/>
      <c r="AS12" s="272"/>
      <c r="AT12" s="270"/>
      <c r="AU12" s="270"/>
      <c r="AV12" s="442"/>
      <c r="AW12" s="82"/>
      <c r="AY12" s="272"/>
      <c r="AZ12" s="272"/>
      <c r="BA12" s="270"/>
      <c r="BB12" s="270"/>
      <c r="BC12" s="442"/>
      <c r="BD12" s="82"/>
      <c r="BF12" s="272"/>
      <c r="BG12" s="272"/>
      <c r="BH12" s="270"/>
      <c r="BI12" s="270"/>
      <c r="BJ12" s="442"/>
      <c r="BK12" s="82"/>
      <c r="BM12" s="272"/>
      <c r="BN12" s="272"/>
      <c r="BO12" s="270"/>
      <c r="BP12" s="270"/>
      <c r="BQ12" s="274"/>
      <c r="BR12" s="82"/>
      <c r="BT12" s="272"/>
      <c r="BU12" s="272"/>
      <c r="BV12" s="270"/>
      <c r="BW12" s="270"/>
      <c r="BX12" s="270"/>
      <c r="BY12" s="82"/>
      <c r="CA12" s="272"/>
      <c r="CB12" s="272"/>
      <c r="CC12" s="270"/>
      <c r="CD12" s="270"/>
      <c r="CE12" s="270"/>
      <c r="CF12" s="82"/>
      <c r="CH12" s="272"/>
      <c r="CI12" s="272"/>
      <c r="CJ12" s="270"/>
      <c r="CK12" s="270"/>
      <c r="CL12" s="270"/>
      <c r="CM12" s="82"/>
      <c r="CO12" s="272"/>
      <c r="CP12" s="272"/>
      <c r="CQ12" s="270"/>
      <c r="CR12" s="270"/>
      <c r="CS12" s="270"/>
      <c r="CT12" s="82"/>
      <c r="CV12" s="272"/>
      <c r="CW12" s="272"/>
      <c r="CX12" s="270"/>
      <c r="CY12" s="270"/>
      <c r="CZ12" s="270"/>
      <c r="DA12" s="82"/>
      <c r="DC12" s="272"/>
      <c r="DD12" s="272"/>
      <c r="DE12" s="270"/>
      <c r="DF12" s="270"/>
      <c r="DG12" s="270"/>
      <c r="DH12" s="82"/>
      <c r="DJ12" s="272"/>
      <c r="DK12" s="272"/>
      <c r="DL12" s="270"/>
      <c r="DM12" s="270"/>
      <c r="DN12" s="270"/>
      <c r="DO12" s="82"/>
      <c r="DQ12" s="272"/>
      <c r="DR12" s="272"/>
      <c r="DS12" s="270"/>
      <c r="DT12" s="270"/>
      <c r="DU12" s="270"/>
      <c r="DV12" s="82"/>
      <c r="DX12" s="272"/>
      <c r="DY12" s="272"/>
      <c r="DZ12" s="270"/>
      <c r="EA12" s="270"/>
      <c r="EB12" s="270"/>
      <c r="EC12" s="82"/>
      <c r="EE12" s="272"/>
      <c r="EF12" s="272"/>
      <c r="EG12" s="270"/>
      <c r="EH12" s="270"/>
      <c r="EI12" s="270"/>
      <c r="EJ12" s="82"/>
      <c r="EL12" s="272"/>
      <c r="EM12" s="272"/>
      <c r="EN12" s="270"/>
      <c r="EO12" s="270"/>
      <c r="EP12" s="270"/>
      <c r="EQ12" s="82"/>
      <c r="ES12" s="272"/>
      <c r="ET12" s="272"/>
      <c r="EU12" s="270"/>
      <c r="EV12" s="270"/>
      <c r="EW12" s="270"/>
      <c r="EX12" s="82"/>
      <c r="EZ12" s="272"/>
      <c r="FA12" s="272"/>
      <c r="FB12" s="270"/>
      <c r="FC12" s="270"/>
      <c r="FD12" s="270"/>
      <c r="FE12" s="82"/>
      <c r="FG12" s="272"/>
      <c r="FH12" s="272"/>
      <c r="FI12" s="270"/>
      <c r="FJ12" s="270"/>
      <c r="FK12" s="270"/>
      <c r="FL12" s="82"/>
      <c r="FN12" s="272"/>
      <c r="FO12" s="272"/>
      <c r="FP12" s="270"/>
      <c r="FQ12" s="270"/>
      <c r="FR12" s="270"/>
      <c r="FU12" s="272"/>
      <c r="FV12" s="272"/>
      <c r="FW12" s="270"/>
      <c r="FX12" s="270"/>
      <c r="FY12" s="270"/>
      <c r="GA12" s="270"/>
      <c r="GB12" s="272"/>
      <c r="GC12" s="272"/>
      <c r="GD12" s="270"/>
      <c r="GE12" s="270"/>
      <c r="GF12" s="270"/>
      <c r="GH12" s="270"/>
      <c r="GI12" s="272"/>
      <c r="GJ12" s="281"/>
      <c r="GK12" s="270"/>
      <c r="GL12" s="270"/>
      <c r="GM12" s="270"/>
      <c r="GO12" s="270"/>
      <c r="GP12" s="272"/>
      <c r="GQ12" s="281"/>
      <c r="GR12" s="270"/>
      <c r="GS12" s="270"/>
      <c r="GT12" s="270"/>
      <c r="GV12" s="270"/>
      <c r="GW12" s="272"/>
      <c r="GX12" s="281"/>
      <c r="GY12" s="270"/>
      <c r="GZ12" s="270"/>
      <c r="HA12" s="270"/>
      <c r="HC12" s="270"/>
    </row>
    <row r="13" spans="1:211" ht="12.75" customHeight="1">
      <c r="A13" s="270" t="s">
        <v>518</v>
      </c>
      <c r="B13" s="81">
        <f>-SUMPRODUCT((Alcom!$B$3:$B$2399="Freight")*(MONTH(date)&lt;=MONTH('ANSC-TB'!$G$5)),(Alcom!$K$3:$V$2399))</f>
        <v>-294386.7</v>
      </c>
      <c r="C13" s="272">
        <f>-SUMPRODUCT((ANSC!$B$3:$B$2399="Freight")*(MONTH(date)&lt;=MONTH('ANSC-TB'!$G$5)),(ANSC!$K$3:$V$2399))</f>
        <v>-159374.45000000001</v>
      </c>
      <c r="D13" s="270"/>
      <c r="E13" s="270"/>
      <c r="F13" s="270"/>
      <c r="G13" s="82">
        <f>SUM(B13:F13)</f>
        <v>-453761.15</v>
      </c>
      <c r="H13" s="270"/>
      <c r="I13" s="81">
        <v>-1575151.0699999998</v>
      </c>
      <c r="J13" s="272">
        <v>-525424.27</v>
      </c>
      <c r="K13" s="270"/>
      <c r="L13" s="270"/>
      <c r="M13" s="270"/>
      <c r="N13" s="82">
        <f>SUM(I13:M13)</f>
        <v>-2100575.34</v>
      </c>
      <c r="O13" s="270"/>
      <c r="P13" s="81">
        <v>-1222719.02</v>
      </c>
      <c r="Q13" s="272">
        <v>-387396.15</v>
      </c>
      <c r="R13" s="270"/>
      <c r="S13" s="270"/>
      <c r="T13" s="270"/>
      <c r="U13" s="82">
        <f>SUM(P13:T13)</f>
        <v>-1610115.17</v>
      </c>
      <c r="V13" s="270"/>
      <c r="W13" s="81">
        <v>-844897.21999999986</v>
      </c>
      <c r="X13" s="272">
        <v>-267909.40999999997</v>
      </c>
      <c r="Y13" s="270"/>
      <c r="Z13" s="270"/>
      <c r="AA13" s="270"/>
      <c r="AB13" s="82">
        <f>SUM(W13:AA13)</f>
        <v>-1112806.6299999999</v>
      </c>
      <c r="AD13" s="272">
        <v>-407217.22</v>
      </c>
      <c r="AE13" s="272">
        <v>-144471.85</v>
      </c>
      <c r="AF13" s="270"/>
      <c r="AG13" s="270"/>
      <c r="AH13" s="270"/>
      <c r="AI13" s="82">
        <f>SUM(AD13:AH13)</f>
        <v>-551689.06999999995</v>
      </c>
      <c r="AK13" s="272">
        <v>-1513188.16</v>
      </c>
      <c r="AL13" s="272">
        <v>-374504.38</v>
      </c>
      <c r="AM13" s="270"/>
      <c r="AN13" s="270"/>
      <c r="AO13" s="270"/>
      <c r="AP13" s="82">
        <f>SUM(AK13:AO13)</f>
        <v>-1887692.54</v>
      </c>
      <c r="AR13" s="272">
        <v>-1183714.6000000001</v>
      </c>
      <c r="AS13" s="272">
        <v>-262599.58</v>
      </c>
      <c r="AT13" s="270"/>
      <c r="AU13" s="270"/>
      <c r="AV13" s="270"/>
      <c r="AW13" s="82">
        <f>SUM(AR13:AV13)</f>
        <v>-1446314.1800000002</v>
      </c>
      <c r="AY13" s="272">
        <v>-747613.74</v>
      </c>
      <c r="AZ13" s="272">
        <v>-169635.98</v>
      </c>
      <c r="BA13" s="270"/>
      <c r="BB13" s="270"/>
      <c r="BC13" s="270"/>
      <c r="BD13" s="82">
        <f>SUM(AY13:BC13)</f>
        <v>-917249.72</v>
      </c>
      <c r="BF13" s="272">
        <v>-415097.04</v>
      </c>
      <c r="BG13" s="272">
        <v>-107154.28</v>
      </c>
      <c r="BH13" s="270"/>
      <c r="BI13" s="270"/>
      <c r="BJ13" s="270"/>
      <c r="BK13" s="82">
        <f>SUM(BF13:BJ13)</f>
        <v>-522251.31999999995</v>
      </c>
      <c r="BM13" s="272">
        <v>-1127088.58</v>
      </c>
      <c r="BN13" s="272">
        <v>-478515.99</v>
      </c>
      <c r="BO13" s="270"/>
      <c r="BP13" s="270"/>
      <c r="BQ13" s="270"/>
      <c r="BR13" s="82">
        <f>SUM(BM13:BQ13)</f>
        <v>-1605604.57</v>
      </c>
      <c r="BT13" s="272">
        <v>-1015976.29</v>
      </c>
      <c r="BU13" s="272">
        <v>-398886.26</v>
      </c>
      <c r="BV13" s="270"/>
      <c r="BW13" s="270"/>
      <c r="BX13" s="270"/>
      <c r="BY13" s="82">
        <f>SUM(BT13:BX13)</f>
        <v>-1414862.55</v>
      </c>
      <c r="CA13" s="272">
        <v>-792949.63</v>
      </c>
      <c r="CB13" s="272">
        <v>-241809.8</v>
      </c>
      <c r="CC13" s="270"/>
      <c r="CD13" s="270"/>
      <c r="CE13" s="270"/>
      <c r="CF13" s="82">
        <f>SUM(CA13:CE13)</f>
        <v>-1034759.4299999999</v>
      </c>
      <c r="CH13" s="272">
        <v>-405493.48</v>
      </c>
      <c r="CI13" s="272">
        <v>-164601.1</v>
      </c>
      <c r="CJ13" s="270"/>
      <c r="CK13" s="270"/>
      <c r="CL13" s="270"/>
      <c r="CM13" s="82">
        <f>SUM(CH13:CL13)</f>
        <v>-570094.57999999996</v>
      </c>
      <c r="CO13" s="272">
        <v>-613628.68999999994</v>
      </c>
      <c r="CP13" s="272">
        <v>-237435.13</v>
      </c>
      <c r="CQ13" s="270"/>
      <c r="CR13" s="270"/>
      <c r="CS13" s="270"/>
      <c r="CT13" s="82">
        <f>SUM(CO13:CS13)</f>
        <v>-851063.82</v>
      </c>
      <c r="CV13" s="272">
        <v>-2065966.49</v>
      </c>
      <c r="CW13" s="272">
        <f>-574219.02-97464.99</f>
        <v>-671684.01</v>
      </c>
      <c r="CX13" s="270"/>
      <c r="CY13" s="270"/>
      <c r="CZ13" s="270"/>
      <c r="DA13" s="82">
        <f>SUM(CV13:CZ13)</f>
        <v>-2737650.5</v>
      </c>
      <c r="DC13" s="272">
        <v>-1269585.9099999999</v>
      </c>
      <c r="DD13" s="272">
        <v>-537321.23</v>
      </c>
      <c r="DE13" s="270"/>
      <c r="DF13" s="270"/>
      <c r="DG13" s="270"/>
      <c r="DH13" s="82">
        <f>SUM(DC13:DG13)</f>
        <v>-1806907.14</v>
      </c>
      <c r="DJ13" s="272">
        <v>-878578.15</v>
      </c>
      <c r="DK13" s="272">
        <v>-430047.81</v>
      </c>
      <c r="DL13" s="270"/>
      <c r="DM13" s="270"/>
      <c r="DN13" s="270"/>
      <c r="DO13" s="82">
        <f>SUM(DJ13:DN13)</f>
        <v>-1308625.96</v>
      </c>
      <c r="DQ13" s="272">
        <v>-434590.59</v>
      </c>
      <c r="DR13" s="272">
        <v>-204558.21</v>
      </c>
      <c r="DS13" s="270"/>
      <c r="DT13" s="270"/>
      <c r="DU13" s="270"/>
      <c r="DV13" s="82">
        <f>SUM(DQ13:DU13)</f>
        <v>-639148.80000000005</v>
      </c>
      <c r="DX13" s="272">
        <v>-1328466.1499999999</v>
      </c>
      <c r="DY13" s="272">
        <v>-665378.29</v>
      </c>
      <c r="DZ13" s="270"/>
      <c r="EA13" s="270"/>
      <c r="EB13" s="270"/>
      <c r="EC13" s="82">
        <f>SUM(DX13:EB13)</f>
        <v>-1993844.44</v>
      </c>
      <c r="EE13" s="272">
        <v>-1070095.3600000001</v>
      </c>
      <c r="EF13" s="272">
        <v>-573365.1</v>
      </c>
      <c r="EG13" s="270"/>
      <c r="EH13" s="270"/>
      <c r="EI13" s="270"/>
      <c r="EJ13" s="82">
        <f>SUM(EE13:EI13)</f>
        <v>-1643460.46</v>
      </c>
      <c r="EL13" s="272">
        <v>-710746.94</v>
      </c>
      <c r="EM13" s="272">
        <v>-478079.03</v>
      </c>
      <c r="EN13" s="270"/>
      <c r="EO13" s="270"/>
      <c r="EP13" s="270"/>
      <c r="EQ13" s="82">
        <f>SUM(EL13:EP13)</f>
        <v>-1188825.97</v>
      </c>
      <c r="ES13" s="272">
        <v>-340913.57</v>
      </c>
      <c r="ET13" s="272">
        <v>-222652.78</v>
      </c>
      <c r="EU13" s="270"/>
      <c r="EV13" s="270"/>
      <c r="EW13" s="270"/>
      <c r="EX13" s="82">
        <f>SUM(ES13:EW13)</f>
        <v>-563566.35</v>
      </c>
      <c r="EZ13" s="272">
        <v>-1548477.23</v>
      </c>
      <c r="FA13" s="272">
        <v>-586856.87</v>
      </c>
      <c r="FB13" s="270"/>
      <c r="FC13" s="270"/>
      <c r="FD13" s="270"/>
      <c r="FE13" s="82">
        <f>SUM(EZ13:FD13)</f>
        <v>-2135334.1</v>
      </c>
      <c r="FG13" s="272">
        <v>-1230186.6100000001</v>
      </c>
      <c r="FH13" s="272">
        <v>-456188.29</v>
      </c>
      <c r="FI13" s="270"/>
      <c r="FJ13" s="270"/>
      <c r="FK13" s="270"/>
      <c r="FL13" s="82">
        <f>SUM(FG13:FK13)</f>
        <v>-1686374.9000000001</v>
      </c>
      <c r="FN13" s="272">
        <v>-882739.18</v>
      </c>
      <c r="FO13" s="272">
        <v>-368885.68</v>
      </c>
      <c r="FP13" s="270"/>
      <c r="FQ13" s="270"/>
      <c r="FR13" s="270"/>
      <c r="FS13">
        <f>SUM(FN13:FQ13)</f>
        <v>-1251624.8600000001</v>
      </c>
      <c r="FU13" s="272">
        <v>-498483.15</v>
      </c>
      <c r="FV13" s="272">
        <v>-158641</v>
      </c>
      <c r="FW13" s="270"/>
      <c r="FX13" s="270"/>
      <c r="FY13" s="270"/>
      <c r="FZ13">
        <f>SUM(FU13:FX13)</f>
        <v>-657124.15</v>
      </c>
      <c r="GA13" s="270"/>
      <c r="GB13" s="272">
        <v>-1735003.09</v>
      </c>
      <c r="GC13" s="272">
        <v>-593477.68999999994</v>
      </c>
      <c r="GD13" s="270"/>
      <c r="GE13" s="270"/>
      <c r="GF13" s="270"/>
      <c r="GG13">
        <f>SUM(GB13:GE13)</f>
        <v>-2328480.7800000003</v>
      </c>
      <c r="GH13" s="270"/>
      <c r="GI13" s="272">
        <v>-1301819.18</v>
      </c>
      <c r="GJ13" s="281">
        <v>-466455.09</v>
      </c>
      <c r="GK13" s="270"/>
      <c r="GL13" s="270"/>
      <c r="GM13" s="270"/>
      <c r="GN13">
        <f>SUM(GI13:GL13)</f>
        <v>-1768274.27</v>
      </c>
      <c r="GO13" s="270"/>
      <c r="GP13" s="272">
        <v>-853426.42</v>
      </c>
      <c r="GQ13" s="281">
        <v>-347295.55</v>
      </c>
      <c r="GR13" s="270"/>
      <c r="GS13" s="270"/>
      <c r="GT13" s="270"/>
      <c r="GU13">
        <f>SUM(GP13:GS13)</f>
        <v>-1200721.97</v>
      </c>
      <c r="GV13" s="270"/>
      <c r="GW13" s="272">
        <v>-441247.01</v>
      </c>
      <c r="GX13" s="281">
        <f>-164207.84-15098.85</f>
        <v>-179306.69</v>
      </c>
      <c r="GY13" s="270"/>
      <c r="GZ13" s="270"/>
      <c r="HA13" s="270"/>
      <c r="HB13">
        <f>SUM(GW13:GZ13)</f>
        <v>-620553.69999999995</v>
      </c>
      <c r="HC13" s="270"/>
    </row>
    <row r="14" spans="1:211" ht="12.75" customHeight="1">
      <c r="A14" s="270"/>
      <c r="B14" s="282">
        <f t="shared" ref="B14:G14" si="0">+B11+B13+B12</f>
        <v>77316454.25999999</v>
      </c>
      <c r="C14" s="282">
        <f t="shared" si="0"/>
        <v>34965864.089999989</v>
      </c>
      <c r="D14" s="282">
        <f t="shared" si="0"/>
        <v>0</v>
      </c>
      <c r="E14" s="282">
        <f t="shared" si="0"/>
        <v>0</v>
      </c>
      <c r="F14" s="282">
        <f t="shared" si="0"/>
        <v>-34707362.07</v>
      </c>
      <c r="G14" s="282">
        <f t="shared" si="0"/>
        <v>77574956.279999971</v>
      </c>
      <c r="H14" s="270"/>
      <c r="I14" s="282">
        <v>287358831.7899999</v>
      </c>
      <c r="J14" s="282">
        <v>116543005.97</v>
      </c>
      <c r="K14" s="282">
        <v>0</v>
      </c>
      <c r="L14" s="282">
        <v>0</v>
      </c>
      <c r="M14" s="282">
        <v>-107316102.28000002</v>
      </c>
      <c r="N14" s="282">
        <f>+N11+N13+N12</f>
        <v>296585735.4799999</v>
      </c>
      <c r="O14" s="270"/>
      <c r="P14" s="282">
        <v>210605831.06</v>
      </c>
      <c r="Q14" s="282">
        <v>81828235.899999976</v>
      </c>
      <c r="R14" s="282">
        <v>0</v>
      </c>
      <c r="S14" s="282">
        <v>0</v>
      </c>
      <c r="T14" s="282">
        <v>-77478426.160000011</v>
      </c>
      <c r="U14" s="282">
        <f>+U11+U13+U12</f>
        <v>214955640.79999998</v>
      </c>
      <c r="V14" s="270"/>
      <c r="W14" s="282">
        <v>139365940.87</v>
      </c>
      <c r="X14" s="282">
        <v>55680289.120000005</v>
      </c>
      <c r="Y14" s="282">
        <v>0</v>
      </c>
      <c r="Z14" s="282">
        <v>0</v>
      </c>
      <c r="AA14" s="282">
        <v>-50037987.690000005</v>
      </c>
      <c r="AB14" s="282">
        <f>+AB11+AB13+AB12</f>
        <v>145008242.30000001</v>
      </c>
      <c r="AC14" s="415"/>
      <c r="AD14" s="282">
        <f>+AD11+AD13</f>
        <v>71650192.870000005</v>
      </c>
      <c r="AE14" s="282">
        <f>+AE11+AE13</f>
        <v>28616253.34</v>
      </c>
      <c r="AF14" s="282">
        <f>+AF11+AF13</f>
        <v>0</v>
      </c>
      <c r="AG14" s="282">
        <f>+AG11+AG13</f>
        <v>0</v>
      </c>
      <c r="AH14" s="282"/>
      <c r="AI14" s="282">
        <f>+AI11+AI13</f>
        <v>74194366.580000013</v>
      </c>
      <c r="AJ14" s="415"/>
      <c r="AK14" s="282">
        <f>+AK11+AK13</f>
        <v>242095456.95000002</v>
      </c>
      <c r="AL14" s="282">
        <f>+AL11+AL13</f>
        <v>93280229.920000002</v>
      </c>
      <c r="AM14" s="282">
        <f>+AM11+AM13</f>
        <v>0</v>
      </c>
      <c r="AN14" s="282">
        <f>+AN11+AN13</f>
        <v>0</v>
      </c>
      <c r="AO14" s="282"/>
      <c r="AP14" s="282">
        <f>+AP11+AP13</f>
        <v>254003739.87000003</v>
      </c>
      <c r="AQ14" s="415"/>
      <c r="AR14" s="282">
        <f>+AR11+AR13</f>
        <v>170232284.31</v>
      </c>
      <c r="AS14" s="282">
        <f>+AS11+AS13</f>
        <v>65198877.649999999</v>
      </c>
      <c r="AT14" s="282">
        <f>+AT11+AT13</f>
        <v>0</v>
      </c>
      <c r="AU14" s="282">
        <f>+AU11+AU13</f>
        <v>0</v>
      </c>
      <c r="AV14" s="282"/>
      <c r="AW14" s="282">
        <f>+AW11+AW13</f>
        <v>179142360.09999996</v>
      </c>
      <c r="AX14" s="415"/>
      <c r="AY14" s="282">
        <f>+AY11+AY13</f>
        <v>104452626.28</v>
      </c>
      <c r="AZ14" s="282">
        <f>+AZ11+AZ13</f>
        <v>43080123.410000004</v>
      </c>
      <c r="BA14" s="282">
        <f>+BA11+BA13</f>
        <v>0</v>
      </c>
      <c r="BB14" s="282">
        <f>+BB11+BB13</f>
        <v>0</v>
      </c>
      <c r="BC14" s="282"/>
      <c r="BD14" s="282">
        <f>+BD11+BD13</f>
        <v>112750876.63</v>
      </c>
      <c r="BE14" s="415"/>
      <c r="BF14" s="282">
        <f>+BF11+BF13</f>
        <v>48042853.200000003</v>
      </c>
      <c r="BG14" s="282">
        <f>+BG11+BG13</f>
        <v>23528228.399999999</v>
      </c>
      <c r="BH14" s="282">
        <f>+BH11+BH13</f>
        <v>0</v>
      </c>
      <c r="BI14" s="282">
        <f>+BI11+BI13</f>
        <v>0</v>
      </c>
      <c r="BJ14" s="282"/>
      <c r="BK14" s="282">
        <f>+BK11+BK13</f>
        <v>52047789.509999998</v>
      </c>
      <c r="BL14" s="415"/>
      <c r="BM14" s="282">
        <f>+BM11+BM13</f>
        <v>286887064.73000002</v>
      </c>
      <c r="BN14" s="282">
        <f>+BN11+BN13</f>
        <v>118337892.64</v>
      </c>
      <c r="BO14" s="282">
        <f>+BO11+BO13</f>
        <v>0</v>
      </c>
      <c r="BP14" s="282">
        <f>+BP11+BP13</f>
        <v>0</v>
      </c>
      <c r="BQ14" s="282"/>
      <c r="BR14" s="282">
        <f>+BR11+BR13</f>
        <v>302854632.21999997</v>
      </c>
      <c r="BS14" s="415"/>
      <c r="BT14" s="282">
        <f>+BT11+BT13</f>
        <v>249865300.83000001</v>
      </c>
      <c r="BU14" s="282">
        <f>+BU11+BU13</f>
        <v>98246421.609999999</v>
      </c>
      <c r="BV14" s="282">
        <f>+BV11+BV13</f>
        <v>0</v>
      </c>
      <c r="BW14" s="282">
        <f>+BW11+BW13</f>
        <v>0</v>
      </c>
      <c r="BX14" s="282"/>
      <c r="BY14" s="282">
        <f>+BY11+BY13</f>
        <v>348111722.44</v>
      </c>
      <c r="BZ14" s="415"/>
      <c r="CA14" s="282">
        <f>+CA11+CA13</f>
        <v>186424887.41</v>
      </c>
      <c r="CB14" s="282">
        <f>+CB11+CB13</f>
        <v>68803018.100000009</v>
      </c>
      <c r="CC14" s="282">
        <f>+CC11+CC13</f>
        <v>0</v>
      </c>
      <c r="CD14" s="282">
        <f>+CD11+CD13</f>
        <v>0</v>
      </c>
      <c r="CE14" s="282"/>
      <c r="CF14" s="282">
        <f>+CF11+CF13</f>
        <v>255227905.50999999</v>
      </c>
      <c r="CG14" s="415"/>
      <c r="CH14" s="282">
        <f>+CH11+CH13</f>
        <v>95785489.420000002</v>
      </c>
      <c r="CI14" s="282">
        <f>+CI11+CI13</f>
        <v>38696108.390000001</v>
      </c>
      <c r="CJ14" s="282">
        <f>+CJ11+CJ13</f>
        <v>0</v>
      </c>
      <c r="CK14" s="282">
        <f>+CK11+CK13</f>
        <v>0</v>
      </c>
      <c r="CL14" s="282"/>
      <c r="CM14" s="282">
        <f>+CM11+CM13</f>
        <v>134481597.81</v>
      </c>
      <c r="CN14" s="415"/>
      <c r="CO14" s="282">
        <f>+CO11+CO13</f>
        <v>93432388.469999999</v>
      </c>
      <c r="CP14" s="282">
        <f>+CP11+CP13</f>
        <v>39003523.539999999</v>
      </c>
      <c r="CQ14" s="282">
        <f>+CQ11+CQ13</f>
        <v>0</v>
      </c>
      <c r="CR14" s="282">
        <f>+CR11+CR13</f>
        <v>0</v>
      </c>
      <c r="CS14" s="282"/>
      <c r="CT14" s="282">
        <f>+CT11+CT13</f>
        <v>132435912.01000001</v>
      </c>
      <c r="CU14" s="415"/>
      <c r="CV14" s="282">
        <f>+CV11+CV13</f>
        <v>378647427.90999997</v>
      </c>
      <c r="CW14" s="282">
        <f>+CW11+CW13</f>
        <v>128676370.45</v>
      </c>
      <c r="CX14" s="282">
        <f>+CX11+CX13</f>
        <v>0</v>
      </c>
      <c r="CY14" s="282">
        <f>+CY11+CY13</f>
        <v>0</v>
      </c>
      <c r="CZ14" s="282"/>
      <c r="DA14" s="282">
        <f>+DA11+DA13</f>
        <v>507323798.36000001</v>
      </c>
      <c r="DB14" s="415"/>
      <c r="DC14" s="282">
        <f>+DC11+DC13</f>
        <v>292202019.02999997</v>
      </c>
      <c r="DD14" s="282">
        <f>+DD11+DD13</f>
        <v>101379796.89</v>
      </c>
      <c r="DE14" s="282">
        <f>+DE11+DE13</f>
        <v>0</v>
      </c>
      <c r="DF14" s="282">
        <f>+DF11+DF13</f>
        <v>0</v>
      </c>
      <c r="DG14" s="282"/>
      <c r="DH14" s="282">
        <f>+DH11+DH13</f>
        <v>393581815.92000002</v>
      </c>
      <c r="DI14" s="415"/>
      <c r="DJ14" s="282">
        <f>+DJ11+DJ13</f>
        <v>197599215.76999998</v>
      </c>
      <c r="DK14" s="282">
        <f>+DK11+DK13</f>
        <v>72273578.849999994</v>
      </c>
      <c r="DL14" s="282">
        <f>+DL11+DL13</f>
        <v>0</v>
      </c>
      <c r="DM14" s="282">
        <f>+DM11+DM13</f>
        <v>0</v>
      </c>
      <c r="DN14" s="282"/>
      <c r="DO14" s="282">
        <f>+DO11+DO13</f>
        <v>269872794.62</v>
      </c>
      <c r="DP14" s="415"/>
      <c r="DQ14" s="282">
        <f>+DQ11+DQ13</f>
        <v>95054237.310000002</v>
      </c>
      <c r="DR14" s="282">
        <f>+DR11+DR13</f>
        <v>35095898.740000002</v>
      </c>
      <c r="DS14" s="282">
        <f>+DS11+DS13</f>
        <v>0</v>
      </c>
      <c r="DT14" s="282">
        <f>+DT11+DT13</f>
        <v>0</v>
      </c>
      <c r="DU14" s="282"/>
      <c r="DV14" s="282">
        <f>+DV11+DV13</f>
        <v>130150136.05000001</v>
      </c>
      <c r="DW14" s="415"/>
      <c r="DX14" s="282">
        <f>+DX11+DX13</f>
        <v>344234714.24000001</v>
      </c>
      <c r="DY14" s="282">
        <f>+DY11+DY13</f>
        <v>128002269.02</v>
      </c>
      <c r="DZ14" s="282">
        <f>+DZ11+DZ13</f>
        <v>0</v>
      </c>
      <c r="EA14" s="282">
        <f>+EA11+EA13</f>
        <v>0</v>
      </c>
      <c r="EB14" s="282"/>
      <c r="EC14" s="282">
        <f>+EC11+EC13</f>
        <v>472236983.25999999</v>
      </c>
      <c r="ED14" s="415"/>
      <c r="EE14" s="282">
        <f>+EE11+EE13</f>
        <v>262082606.42999998</v>
      </c>
      <c r="EF14" s="282">
        <f>+EF11+EF13</f>
        <v>100516546.66000001</v>
      </c>
      <c r="EG14" s="282">
        <f>+EG11+EG13</f>
        <v>0</v>
      </c>
      <c r="EH14" s="282">
        <f>+EH11+EH13</f>
        <v>0</v>
      </c>
      <c r="EI14" s="282"/>
      <c r="EJ14" s="282">
        <f>+EJ11+EJ13</f>
        <v>362599153.09000003</v>
      </c>
      <c r="EK14" s="415"/>
      <c r="EL14" s="282">
        <f>+EL11+EL13</f>
        <v>177309946.53</v>
      </c>
      <c r="EM14" s="282">
        <f>+EM11+EM13</f>
        <v>77689713.579999998</v>
      </c>
      <c r="EN14" s="282">
        <f>+EN11+EN13</f>
        <v>0</v>
      </c>
      <c r="EO14" s="282">
        <f>+EO11+EO13</f>
        <v>0</v>
      </c>
      <c r="EP14" s="282"/>
      <c r="EQ14" s="282">
        <f>+EQ11+EQ13</f>
        <v>254999660.10999998</v>
      </c>
      <c r="ER14" s="415"/>
      <c r="ES14" s="282">
        <f>+ES11+ES13</f>
        <v>83311884.450000003</v>
      </c>
      <c r="ET14" s="282">
        <f>+ET11+ET13</f>
        <v>38378146.859999999</v>
      </c>
      <c r="EU14" s="282">
        <f>+EU11+EU13</f>
        <v>0</v>
      </c>
      <c r="EV14" s="282">
        <f>+EV11+EV13</f>
        <v>0</v>
      </c>
      <c r="EW14" s="282"/>
      <c r="EX14" s="282">
        <f>+EX11+EX13</f>
        <v>121690031.31</v>
      </c>
      <c r="EY14" s="415"/>
      <c r="EZ14" s="282">
        <f>+EZ11+EZ13</f>
        <v>291131517.58999997</v>
      </c>
      <c r="FA14" s="282">
        <f>+FA11+FA13</f>
        <v>117994636.06</v>
      </c>
      <c r="FB14" s="282">
        <f>+FB11+FB13</f>
        <v>0</v>
      </c>
      <c r="FC14" s="282">
        <f>+FC11+FC13</f>
        <v>0</v>
      </c>
      <c r="FD14" s="282"/>
      <c r="FE14" s="282">
        <f>+FE11+FE13</f>
        <v>409126153.64999998</v>
      </c>
      <c r="FF14" s="415"/>
      <c r="FG14" s="282">
        <f>+FG11+FG13</f>
        <v>222720053.42999998</v>
      </c>
      <c r="FH14" s="282">
        <f>+FH11+FH13</f>
        <v>92925369.5</v>
      </c>
      <c r="FI14" s="282">
        <f>+FI11+FI13</f>
        <v>0</v>
      </c>
      <c r="FJ14" s="282">
        <f>+FJ11+FJ13</f>
        <v>0</v>
      </c>
      <c r="FK14" s="282"/>
      <c r="FL14" s="282">
        <f>+FL11+FL13</f>
        <v>315645422.93000001</v>
      </c>
      <c r="FM14" s="415"/>
      <c r="FN14" s="282">
        <f>+FN11+FN13</f>
        <v>151891454.88</v>
      </c>
      <c r="FO14" s="282">
        <f>+FO11+FO13</f>
        <v>70830755.139999986</v>
      </c>
      <c r="FP14" s="282">
        <f>+FP11+FP13</f>
        <v>0</v>
      </c>
      <c r="FQ14" s="282">
        <f>+FQ11+FQ13</f>
        <v>0</v>
      </c>
      <c r="FR14" s="282"/>
      <c r="FS14" s="282">
        <f>+FS11+FS13</f>
        <v>222722210.01999998</v>
      </c>
      <c r="FT14" s="415"/>
      <c r="FU14" s="282">
        <f>+FU11+FU13</f>
        <v>73911014.179999992</v>
      </c>
      <c r="FV14" s="282">
        <f>+FV11+FV13</f>
        <v>33867686.619999997</v>
      </c>
      <c r="FW14" s="282">
        <f>+FW11+FW13</f>
        <v>0</v>
      </c>
      <c r="FX14" s="282">
        <f>+FX11+FX13</f>
        <v>0</v>
      </c>
      <c r="FY14" s="282"/>
      <c r="FZ14" s="282">
        <f>+FZ11+FZ13</f>
        <v>107778700.79999998</v>
      </c>
      <c r="GA14" s="270"/>
      <c r="GB14" s="282">
        <f>+GB11+GB13</f>
        <v>257278287.50999999</v>
      </c>
      <c r="GC14" s="282">
        <f>+GC11+GC13</f>
        <v>100480460.44</v>
      </c>
      <c r="GD14" s="282">
        <f>+GD11+GD13</f>
        <v>0</v>
      </c>
      <c r="GE14" s="282">
        <f>+GE11+GE13</f>
        <v>0</v>
      </c>
      <c r="GF14" s="282"/>
      <c r="GG14" s="282">
        <f>+GG11+GG13</f>
        <v>357758747.95000005</v>
      </c>
      <c r="GH14" s="270"/>
      <c r="GI14" s="282">
        <f>+GI11+GI13</f>
        <v>193459429.25999999</v>
      </c>
      <c r="GJ14" s="282">
        <f>+GJ11+GJ13</f>
        <v>77242224.549999997</v>
      </c>
      <c r="GK14" s="282">
        <f>+GK11+GK13</f>
        <v>0</v>
      </c>
      <c r="GL14" s="282">
        <f>+GL11+GL13</f>
        <v>0</v>
      </c>
      <c r="GM14" s="282"/>
      <c r="GN14" s="282">
        <f>+GN11+GN13</f>
        <v>270701653.81</v>
      </c>
      <c r="GO14" s="270"/>
      <c r="GP14" s="282">
        <f>+GP11+GP13</f>
        <v>129366981.39999999</v>
      </c>
      <c r="GQ14" s="282">
        <f>+GQ11+GQ13</f>
        <v>55881048.57</v>
      </c>
      <c r="GR14" s="282">
        <f>+GR11+GR13</f>
        <v>0</v>
      </c>
      <c r="GS14" s="282">
        <f>+GS11+GS13</f>
        <v>0</v>
      </c>
      <c r="GT14" s="282"/>
      <c r="GU14" s="282">
        <f>+GU11+GU13</f>
        <v>185248029.97</v>
      </c>
      <c r="GV14" s="270"/>
      <c r="GW14" s="282">
        <f>+GW11+GW13</f>
        <v>63381885.609999999</v>
      </c>
      <c r="GX14" s="282">
        <f>+GX11+GX13</f>
        <v>26843788.68</v>
      </c>
      <c r="GY14" s="282">
        <f>+GY11+GY13</f>
        <v>0</v>
      </c>
      <c r="GZ14" s="282">
        <f>+GZ11+GZ13</f>
        <v>0</v>
      </c>
      <c r="HA14" s="282"/>
      <c r="HB14" s="282">
        <f>+HB11+HB13</f>
        <v>90225674.289999992</v>
      </c>
      <c r="HC14" s="270"/>
    </row>
    <row r="15" spans="1:211" ht="12.75" customHeight="1">
      <c r="A15" s="25" t="s">
        <v>490</v>
      </c>
      <c r="B15" s="81"/>
      <c r="C15" s="81"/>
      <c r="D15" s="25"/>
      <c r="E15" s="25"/>
      <c r="F15" s="25"/>
      <c r="G15" s="25"/>
      <c r="H15" s="25"/>
      <c r="I15" s="81"/>
      <c r="J15" s="81"/>
      <c r="K15" s="25"/>
      <c r="L15" s="25"/>
      <c r="M15" s="25"/>
      <c r="N15" s="25"/>
      <c r="O15" s="25"/>
      <c r="P15" s="81"/>
      <c r="Q15" s="81"/>
      <c r="R15" s="25"/>
      <c r="S15" s="25"/>
      <c r="T15" s="25"/>
      <c r="U15" s="25"/>
      <c r="V15" s="25"/>
      <c r="W15" s="81"/>
      <c r="X15" s="81"/>
      <c r="Y15" s="25"/>
      <c r="Z15" s="25"/>
      <c r="AA15" s="25"/>
      <c r="AB15" s="25"/>
      <c r="AC15" s="25"/>
      <c r="AD15" s="81"/>
      <c r="AE15" s="47"/>
      <c r="AF15" s="25"/>
      <c r="AG15" s="25"/>
      <c r="AH15" s="25"/>
      <c r="AI15" s="25"/>
      <c r="AJ15" s="25"/>
      <c r="AK15" s="81"/>
      <c r="AL15" s="47"/>
      <c r="AM15" s="25"/>
      <c r="AN15" s="25"/>
      <c r="AO15" s="25"/>
      <c r="AP15" s="25"/>
      <c r="AQ15" s="25"/>
      <c r="AR15" s="81"/>
      <c r="AS15" s="47"/>
      <c r="AT15" s="25"/>
      <c r="AU15" s="25"/>
      <c r="AV15" s="25"/>
      <c r="AW15" s="25"/>
      <c r="AX15" s="25"/>
      <c r="AY15" s="81"/>
      <c r="AZ15" s="47"/>
      <c r="BA15" s="25"/>
      <c r="BB15" s="25"/>
      <c r="BC15" s="25"/>
      <c r="BD15" s="25"/>
      <c r="BE15" s="25"/>
      <c r="BF15" s="81"/>
      <c r="BG15" s="47"/>
      <c r="BH15" s="25"/>
      <c r="BI15" s="25"/>
      <c r="BJ15" s="25"/>
      <c r="BK15" s="25"/>
      <c r="BL15" s="25"/>
      <c r="BM15" s="81"/>
      <c r="BN15" s="47"/>
      <c r="BO15" s="25"/>
      <c r="BP15" s="25"/>
      <c r="BQ15" s="25"/>
      <c r="BR15" s="25"/>
      <c r="BS15" s="25"/>
      <c r="BT15" s="81"/>
      <c r="BU15" s="47"/>
      <c r="BV15" s="25"/>
      <c r="BW15" s="25"/>
      <c r="BX15" s="25"/>
      <c r="BY15" s="25"/>
      <c r="BZ15" s="25"/>
      <c r="CA15" s="81"/>
      <c r="CB15" s="47"/>
      <c r="CC15" s="25"/>
      <c r="CD15" s="25"/>
      <c r="CE15" s="25"/>
      <c r="CF15" s="25"/>
      <c r="CG15" s="25"/>
      <c r="CH15" s="81"/>
      <c r="CI15" s="47"/>
      <c r="CJ15" s="25"/>
      <c r="CK15" s="25"/>
      <c r="CL15" s="25"/>
      <c r="CM15" s="25"/>
      <c r="CN15" s="25"/>
      <c r="CO15" s="81"/>
      <c r="CP15" s="47"/>
      <c r="CQ15" s="25"/>
      <c r="CR15" s="25"/>
      <c r="CS15" s="25"/>
      <c r="CT15" s="25"/>
      <c r="CU15" s="25"/>
      <c r="CV15" s="81"/>
      <c r="CW15" s="47"/>
      <c r="CX15" s="25"/>
      <c r="CY15" s="25"/>
      <c r="CZ15" s="25"/>
      <c r="DA15" s="25"/>
      <c r="DB15" s="25"/>
      <c r="DC15" s="81"/>
      <c r="DD15" s="47"/>
      <c r="DE15" s="25"/>
      <c r="DF15" s="25"/>
      <c r="DG15" s="25"/>
      <c r="DH15" s="25"/>
      <c r="DI15" s="25"/>
      <c r="DJ15" s="81"/>
      <c r="DK15" s="25"/>
      <c r="DL15" s="25"/>
      <c r="DM15" s="25"/>
      <c r="DN15" s="25"/>
      <c r="DO15" s="25"/>
      <c r="DP15" s="25"/>
      <c r="DQ15" s="81"/>
      <c r="DR15" s="25"/>
      <c r="DS15" s="25"/>
      <c r="DT15" s="25"/>
      <c r="DU15" s="25"/>
      <c r="DV15" s="25"/>
      <c r="DW15" s="25"/>
      <c r="DX15" s="81"/>
      <c r="DY15" s="25"/>
      <c r="DZ15" s="25"/>
      <c r="EA15" s="25"/>
      <c r="EB15" s="25"/>
      <c r="EC15" s="25"/>
      <c r="ED15" s="25"/>
      <c r="EE15" s="81"/>
      <c r="EF15" s="25"/>
      <c r="EG15" s="25"/>
      <c r="EH15" s="25"/>
      <c r="EI15" s="25"/>
      <c r="EJ15" s="25"/>
      <c r="EK15" s="25"/>
      <c r="EL15" s="81"/>
      <c r="EM15" s="25"/>
      <c r="EN15" s="25"/>
      <c r="EO15" s="25"/>
      <c r="EP15" s="25"/>
      <c r="EQ15" s="25"/>
      <c r="ER15" s="25"/>
      <c r="ES15" s="81"/>
      <c r="ET15" s="25"/>
      <c r="EU15" s="25"/>
      <c r="EV15" s="25"/>
      <c r="EW15" s="25"/>
      <c r="EX15" s="25"/>
      <c r="EY15" s="25"/>
      <c r="EZ15" s="81"/>
      <c r="FA15" s="25"/>
      <c r="FB15" s="25"/>
      <c r="FC15" s="25"/>
      <c r="FD15" s="25"/>
      <c r="FE15" s="25"/>
      <c r="FF15" s="25"/>
      <c r="FG15" s="81"/>
      <c r="FH15" s="25"/>
      <c r="FI15" s="25"/>
      <c r="FJ15" s="25"/>
      <c r="FK15" s="25"/>
      <c r="FL15" s="25"/>
      <c r="FM15" s="25"/>
      <c r="FN15" s="81"/>
      <c r="FO15" s="25"/>
      <c r="FP15" s="25"/>
      <c r="FQ15" s="25"/>
      <c r="FR15" s="25"/>
      <c r="FS15" s="25"/>
      <c r="FT15" s="25"/>
      <c r="FU15" s="81"/>
      <c r="FV15" s="25"/>
      <c r="FW15" s="25"/>
      <c r="FX15" s="25"/>
      <c r="FY15" s="25"/>
      <c r="FZ15" s="25"/>
      <c r="GA15" s="25"/>
      <c r="GB15" s="81"/>
      <c r="GC15" s="25"/>
      <c r="GD15" s="25"/>
      <c r="GE15" s="25"/>
      <c r="GF15" s="25"/>
      <c r="GG15" s="25"/>
      <c r="GH15" s="25"/>
      <c r="GI15" s="81"/>
      <c r="GJ15" s="25"/>
      <c r="GK15" s="25"/>
      <c r="GL15" s="25"/>
      <c r="GM15" s="25"/>
      <c r="GN15" s="25"/>
      <c r="GO15" s="25"/>
      <c r="GP15" s="81"/>
      <c r="GQ15" s="25"/>
      <c r="GR15" s="25"/>
      <c r="GS15" s="25"/>
      <c r="GT15" s="25"/>
      <c r="GU15" s="25"/>
      <c r="GV15" s="25"/>
      <c r="GW15" s="81"/>
      <c r="GX15" s="25"/>
      <c r="GY15" s="25"/>
      <c r="GZ15" s="25"/>
      <c r="HA15" s="25"/>
      <c r="HB15" s="25"/>
      <c r="HC15" s="25"/>
    </row>
    <row r="16" spans="1:211" ht="12.75" customHeight="1">
      <c r="A16" s="273" t="s">
        <v>497</v>
      </c>
      <c r="B16" s="272">
        <f>4056+7488</f>
        <v>11544</v>
      </c>
      <c r="C16" s="272"/>
      <c r="D16" s="273"/>
      <c r="E16" s="273"/>
      <c r="F16" s="53"/>
      <c r="G16" s="82">
        <f>SUM(B16:F16)</f>
        <v>11544</v>
      </c>
      <c r="H16" s="273"/>
      <c r="I16" s="272">
        <v>8403</v>
      </c>
      <c r="J16" s="272">
        <v>0</v>
      </c>
      <c r="K16" s="273"/>
      <c r="L16" s="273"/>
      <c r="M16" s="53"/>
      <c r="N16" s="82">
        <f>SUM(I16:M16)</f>
        <v>8403</v>
      </c>
      <c r="O16" s="273"/>
      <c r="P16" s="272">
        <v>8403</v>
      </c>
      <c r="Q16" s="272">
        <v>0</v>
      </c>
      <c r="R16" s="273"/>
      <c r="S16" s="273"/>
      <c r="T16" s="53"/>
      <c r="U16" s="82">
        <f>SUM(P16:T16)</f>
        <v>8403</v>
      </c>
      <c r="V16" s="273"/>
      <c r="W16" s="272">
        <v>8403</v>
      </c>
      <c r="X16" s="272">
        <v>0</v>
      </c>
      <c r="Y16" s="273"/>
      <c r="Z16" s="273"/>
      <c r="AA16" s="53"/>
      <c r="AB16" s="82">
        <f>SUM(W16:AA16)</f>
        <v>8403</v>
      </c>
      <c r="AD16" s="272">
        <v>0</v>
      </c>
      <c r="AE16" s="272">
        <v>0</v>
      </c>
      <c r="AF16" s="273"/>
      <c r="AG16" s="273"/>
      <c r="AH16" s="53"/>
      <c r="AI16" s="82">
        <f>SUM(AD16:AH16)</f>
        <v>0</v>
      </c>
      <c r="AK16" s="272">
        <v>7288.27</v>
      </c>
      <c r="AL16" s="272">
        <v>0</v>
      </c>
      <c r="AM16" s="273"/>
      <c r="AN16" s="273"/>
      <c r="AO16" s="53"/>
      <c r="AP16" s="82">
        <f>SUM(AK16:AO16)</f>
        <v>7288.27</v>
      </c>
      <c r="AR16" s="272">
        <v>7288.27</v>
      </c>
      <c r="AS16" s="272">
        <v>0</v>
      </c>
      <c r="AT16" s="273"/>
      <c r="AU16" s="273"/>
      <c r="AV16" s="53"/>
      <c r="AW16" s="82">
        <f>SUM(AR16:AV16)</f>
        <v>7288.27</v>
      </c>
      <c r="AY16" s="272">
        <v>7288.27</v>
      </c>
      <c r="AZ16" s="272">
        <v>0</v>
      </c>
      <c r="BA16" s="273"/>
      <c r="BB16" s="273"/>
      <c r="BC16" s="53"/>
      <c r="BD16" s="82">
        <f>SUM(AY16:BC16)</f>
        <v>7288.27</v>
      </c>
      <c r="BF16" s="272">
        <v>0</v>
      </c>
      <c r="BG16" s="272">
        <v>0</v>
      </c>
      <c r="BH16" s="273"/>
      <c r="BI16" s="273"/>
      <c r="BJ16" s="53"/>
      <c r="BK16" s="82">
        <f>SUM(BF16:BJ16)</f>
        <v>0</v>
      </c>
      <c r="BM16" s="272">
        <v>38658.400000000001</v>
      </c>
      <c r="BN16" s="272">
        <v>0</v>
      </c>
      <c r="BO16" s="273"/>
      <c r="BP16" s="273"/>
      <c r="BQ16" s="53"/>
      <c r="BR16" s="82">
        <f>SUM(BM16:BQ16)</f>
        <v>38658.400000000001</v>
      </c>
      <c r="BT16" s="272">
        <v>38658.400000000001</v>
      </c>
      <c r="BU16" s="272">
        <v>0</v>
      </c>
      <c r="BV16" s="273"/>
      <c r="BW16" s="273"/>
      <c r="BX16" s="53"/>
      <c r="BY16" s="82">
        <f>SUM(BT16:BX16)</f>
        <v>38658.400000000001</v>
      </c>
      <c r="CA16" s="272">
        <v>38658.400000000001</v>
      </c>
      <c r="CB16" s="272">
        <v>0</v>
      </c>
      <c r="CC16" s="273"/>
      <c r="CD16" s="273"/>
      <c r="CE16" s="53"/>
      <c r="CF16" s="82">
        <f>SUM(CA16:CE16)</f>
        <v>38658.400000000001</v>
      </c>
      <c r="CG16" s="82"/>
      <c r="CH16" s="272">
        <v>29782.400000000001</v>
      </c>
      <c r="CI16" s="272">
        <v>0</v>
      </c>
      <c r="CJ16" s="273"/>
      <c r="CK16" s="273"/>
      <c r="CL16" s="53"/>
      <c r="CM16" s="82">
        <f>SUM(CH16:CL16)</f>
        <v>29782.400000000001</v>
      </c>
      <c r="CO16" s="272">
        <v>0</v>
      </c>
      <c r="CP16" s="272">
        <v>0</v>
      </c>
      <c r="CQ16" s="273"/>
      <c r="CR16" s="273"/>
      <c r="CS16" s="53"/>
      <c r="CT16" s="82">
        <f>SUM(CO16:CS16)</f>
        <v>0</v>
      </c>
      <c r="CV16" s="272">
        <v>295626.12</v>
      </c>
      <c r="CW16" s="272">
        <v>4075200</v>
      </c>
      <c r="CX16" s="273"/>
      <c r="CY16" s="273"/>
      <c r="CZ16" s="53"/>
      <c r="DA16" s="82">
        <f>SUM(CV16:CZ16)</f>
        <v>4370826.12</v>
      </c>
      <c r="DC16" s="272">
        <v>295626.12</v>
      </c>
      <c r="DD16" s="272">
        <v>4075200</v>
      </c>
      <c r="DE16" s="273"/>
      <c r="DF16" s="273"/>
      <c r="DG16" s="53"/>
      <c r="DH16" s="82">
        <f>SUM(DC16:DG16)</f>
        <v>4370826.12</v>
      </c>
      <c r="DJ16" s="272">
        <v>173820.42</v>
      </c>
      <c r="DK16" s="272">
        <v>2887920</v>
      </c>
      <c r="DL16" s="273"/>
      <c r="DM16" s="273"/>
      <c r="DN16" s="53"/>
      <c r="DO16" s="82">
        <f>SUM(DJ16:DN16)</f>
        <v>3061740.42</v>
      </c>
      <c r="DQ16" s="272">
        <v>137882.07</v>
      </c>
      <c r="DR16" s="272">
        <v>0</v>
      </c>
      <c r="DS16" s="273"/>
      <c r="DT16" s="273"/>
      <c r="DU16" s="53"/>
      <c r="DV16" s="82">
        <f>SUM(DQ16:DU16)</f>
        <v>137882.07</v>
      </c>
      <c r="DX16" s="272">
        <v>7424075.9699999997</v>
      </c>
      <c r="DY16" s="272">
        <v>12918143.75</v>
      </c>
      <c r="DZ16" s="273"/>
      <c r="EA16" s="273"/>
      <c r="EB16" s="53"/>
      <c r="EC16" s="82">
        <f>SUM(DX16:EB16)</f>
        <v>20342219.719999999</v>
      </c>
      <c r="EE16" s="272">
        <v>6851865.3700000001</v>
      </c>
      <c r="EF16" s="272">
        <v>11287023.23</v>
      </c>
      <c r="EG16" s="273"/>
      <c r="EH16" s="273"/>
      <c r="EI16" s="53"/>
      <c r="EJ16" s="82">
        <f>SUM(EE16:EI16)</f>
        <v>18138888.600000001</v>
      </c>
      <c r="EL16" s="272">
        <v>6826420.7699999996</v>
      </c>
      <c r="EM16" s="272">
        <v>7823177.2300000004</v>
      </c>
      <c r="EN16" s="273"/>
      <c r="EO16" s="273"/>
      <c r="EP16" s="53"/>
      <c r="EQ16" s="82">
        <f>SUM(EL16:EP16)</f>
        <v>14649598</v>
      </c>
      <c r="ES16" s="272">
        <v>40669.15</v>
      </c>
      <c r="ET16" s="272">
        <f>176752.35+769200</f>
        <v>945952.35</v>
      </c>
      <c r="EU16" s="273"/>
      <c r="EV16" s="273"/>
      <c r="EW16" s="53"/>
      <c r="EX16" s="82">
        <f>SUM(ES16:EW16)</f>
        <v>986621.5</v>
      </c>
      <c r="EZ16" s="272">
        <v>115090.24000000001</v>
      </c>
      <c r="FA16" s="272">
        <v>5923479.2599999998</v>
      </c>
      <c r="FB16" s="273"/>
      <c r="FC16" s="273"/>
      <c r="FD16" s="53">
        <v>-63280</v>
      </c>
      <c r="FE16" s="82">
        <f>SUM(EZ16:FD16)</f>
        <v>5975289.5</v>
      </c>
      <c r="FG16" s="272">
        <v>85515.09</v>
      </c>
      <c r="FH16" s="272">
        <v>5305592.79</v>
      </c>
      <c r="FI16" s="273"/>
      <c r="FJ16" s="273"/>
      <c r="FK16" s="273"/>
      <c r="FL16" s="82">
        <f>SUM(FG16:FK16)</f>
        <v>5391107.8799999999</v>
      </c>
      <c r="FN16" s="272">
        <v>35977.4</v>
      </c>
      <c r="FO16" s="8">
        <v>4010379.39</v>
      </c>
      <c r="FP16" s="273"/>
      <c r="FQ16" s="273"/>
      <c r="FR16" s="273"/>
      <c r="FS16">
        <f>SUM(FN16:FQ16)</f>
        <v>4046356.79</v>
      </c>
      <c r="FU16" s="272">
        <v>10645.2</v>
      </c>
      <c r="FV16" s="8">
        <v>1835983.6</v>
      </c>
      <c r="FW16" s="273"/>
      <c r="FX16" s="273"/>
      <c r="FY16" s="273"/>
      <c r="FZ16">
        <f>SUM(FU16:FX16)</f>
        <v>1846628.8</v>
      </c>
      <c r="GA16" s="273"/>
      <c r="GB16" s="272">
        <v>201935.75</v>
      </c>
      <c r="GC16" s="8">
        <v>5653852.5</v>
      </c>
      <c r="GD16" s="273"/>
      <c r="GE16" s="273"/>
      <c r="GF16" s="273"/>
      <c r="GG16">
        <f>SUM(GB16:GE16)</f>
        <v>5855788.25</v>
      </c>
      <c r="GH16" s="273"/>
      <c r="GI16" s="272">
        <v>60472.160000000003</v>
      </c>
      <c r="GJ16" s="387">
        <f>3883034.5+467700</f>
        <v>4350734.5</v>
      </c>
      <c r="GK16" s="273"/>
      <c r="GL16" s="273"/>
      <c r="GM16" s="273"/>
      <c r="GN16">
        <f>SUM(GI16:GL16)</f>
        <v>4411206.66</v>
      </c>
      <c r="GO16" s="273"/>
      <c r="GP16" s="272">
        <v>47973.599999999999</v>
      </c>
      <c r="GQ16" s="281">
        <v>2983730</v>
      </c>
      <c r="GR16" s="273"/>
      <c r="GS16" s="273"/>
      <c r="GT16" s="273"/>
      <c r="GU16">
        <f>SUM(GP16:GS16)</f>
        <v>3031703.6</v>
      </c>
      <c r="GV16" s="273"/>
      <c r="GW16" s="272">
        <v>0</v>
      </c>
      <c r="GX16" s="281">
        <v>1541630</v>
      </c>
      <c r="GY16" s="273"/>
      <c r="GZ16" s="273"/>
      <c r="HA16" s="273"/>
      <c r="HB16">
        <f>SUM(GW16:GZ16)</f>
        <v>1541630</v>
      </c>
      <c r="HC16" s="273"/>
    </row>
    <row r="17" spans="1:211" ht="12.75" customHeight="1">
      <c r="A17" s="273" t="s">
        <v>498</v>
      </c>
      <c r="B17" s="274"/>
      <c r="C17" s="273"/>
      <c r="D17" s="273"/>
      <c r="E17" s="273"/>
      <c r="F17" s="273"/>
      <c r="G17" s="82">
        <f>SUM(B17:F17)</f>
        <v>0</v>
      </c>
      <c r="H17" s="273"/>
      <c r="I17" s="274"/>
      <c r="J17" s="273"/>
      <c r="K17" s="273"/>
      <c r="L17" s="273"/>
      <c r="M17" s="273"/>
      <c r="N17" s="82">
        <f>SUM(I17:M17)</f>
        <v>0</v>
      </c>
      <c r="O17" s="273"/>
      <c r="P17" s="274"/>
      <c r="Q17" s="273"/>
      <c r="R17" s="273"/>
      <c r="S17" s="273"/>
      <c r="T17" s="273"/>
      <c r="U17" s="82">
        <f>SUM(P17:T17)</f>
        <v>0</v>
      </c>
      <c r="V17" s="273"/>
      <c r="W17" s="274"/>
      <c r="X17" s="273"/>
      <c r="Y17" s="273"/>
      <c r="Z17" s="273"/>
      <c r="AA17" s="273"/>
      <c r="AB17" s="82">
        <f>SUM(W17:AA17)</f>
        <v>0</v>
      </c>
      <c r="AD17" s="274"/>
      <c r="AE17" s="273"/>
      <c r="AF17" s="273"/>
      <c r="AG17" s="273"/>
      <c r="AH17" s="273"/>
      <c r="AI17" s="82">
        <f>SUM(AD17:AH17)</f>
        <v>0</v>
      </c>
      <c r="AK17" s="274"/>
      <c r="AL17" s="273"/>
      <c r="AM17" s="273"/>
      <c r="AN17" s="273"/>
      <c r="AO17" s="273"/>
      <c r="AP17" s="82">
        <f>SUM(AK17:AO17)</f>
        <v>0</v>
      </c>
      <c r="AR17" s="274"/>
      <c r="AS17" s="273"/>
      <c r="AT17" s="273"/>
      <c r="AU17" s="273"/>
      <c r="AV17" s="273"/>
      <c r="AW17" s="82">
        <f>SUM(AR17:AV17)</f>
        <v>0</v>
      </c>
      <c r="AY17" s="274"/>
      <c r="AZ17" s="273"/>
      <c r="BA17" s="273"/>
      <c r="BB17" s="273"/>
      <c r="BC17" s="273"/>
      <c r="BD17" s="82">
        <f>SUM(AY17:BC17)</f>
        <v>0</v>
      </c>
      <c r="BF17" s="274"/>
      <c r="BG17" s="273"/>
      <c r="BH17" s="273"/>
      <c r="BI17" s="273"/>
      <c r="BJ17" s="273"/>
      <c r="BK17" s="82">
        <f>SUM(BF17:BJ17)</f>
        <v>0</v>
      </c>
      <c r="BM17" s="274"/>
      <c r="BN17" s="273"/>
      <c r="BO17" s="273"/>
      <c r="BP17" s="273"/>
      <c r="BQ17" s="273"/>
      <c r="BR17" s="82">
        <f>SUM(BM17:BQ17)</f>
        <v>0</v>
      </c>
      <c r="BT17" s="274"/>
      <c r="BU17" s="273"/>
      <c r="BV17" s="273"/>
      <c r="BW17" s="273"/>
      <c r="BX17" s="273"/>
      <c r="BY17" s="82">
        <f>SUM(BT17:BX17)</f>
        <v>0</v>
      </c>
      <c r="CA17" s="274"/>
      <c r="CB17" s="273"/>
      <c r="CC17" s="273"/>
      <c r="CD17" s="273"/>
      <c r="CE17" s="273"/>
      <c r="CF17" s="82">
        <f>SUM(CA17:CE17)</f>
        <v>0</v>
      </c>
      <c r="CH17" s="274"/>
      <c r="CI17" s="273"/>
      <c r="CJ17" s="273"/>
      <c r="CK17" s="273"/>
      <c r="CL17" s="273"/>
      <c r="CM17" s="82">
        <f>SUM(CH17:CL17)</f>
        <v>0</v>
      </c>
      <c r="CO17" s="274"/>
      <c r="CP17" s="273"/>
      <c r="CQ17" s="273"/>
      <c r="CR17" s="273"/>
      <c r="CS17" s="273"/>
      <c r="CT17" s="82">
        <f>SUM(CO17:CS17)</f>
        <v>0</v>
      </c>
      <c r="CV17" s="274"/>
      <c r="CW17" s="273"/>
      <c r="CX17" s="273"/>
      <c r="CY17" s="273"/>
      <c r="CZ17" s="273"/>
      <c r="DA17" s="82">
        <f>SUM(CV17:CZ17)</f>
        <v>0</v>
      </c>
      <c r="DC17" s="274"/>
      <c r="DD17" s="273"/>
      <c r="DE17" s="273"/>
      <c r="DF17" s="273"/>
      <c r="DG17" s="273"/>
      <c r="DH17" s="82">
        <f>SUM(DC17:DG17)</f>
        <v>0</v>
      </c>
      <c r="DJ17" s="274"/>
      <c r="DK17" s="273"/>
      <c r="DL17" s="273"/>
      <c r="DM17" s="273"/>
      <c r="DN17" s="273"/>
      <c r="DO17" s="82">
        <f>SUM(DJ17:DN17)</f>
        <v>0</v>
      </c>
      <c r="DQ17" s="274"/>
      <c r="DR17" s="273"/>
      <c r="DS17" s="273"/>
      <c r="DT17" s="273"/>
      <c r="DU17" s="273"/>
      <c r="DV17" s="82">
        <f>SUM(DQ17:DU17)</f>
        <v>0</v>
      </c>
      <c r="DX17" s="274"/>
      <c r="DY17" s="273"/>
      <c r="DZ17" s="273"/>
      <c r="EA17" s="273"/>
      <c r="EB17" s="273"/>
      <c r="EC17" s="82">
        <f>SUM(DX17:EB17)</f>
        <v>0</v>
      </c>
      <c r="EE17" s="274"/>
      <c r="EF17" s="273"/>
      <c r="EG17" s="273"/>
      <c r="EH17" s="273"/>
      <c r="EI17" s="273"/>
      <c r="EJ17" s="82">
        <f>SUM(EE17:EI17)</f>
        <v>0</v>
      </c>
      <c r="EL17" s="274"/>
      <c r="EM17" s="273"/>
      <c r="EN17" s="273"/>
      <c r="EO17" s="273"/>
      <c r="EP17" s="273"/>
      <c r="EQ17" s="82">
        <f>SUM(EL17:EP17)</f>
        <v>0</v>
      </c>
      <c r="ES17" s="274"/>
      <c r="ET17" s="273"/>
      <c r="EU17" s="273"/>
      <c r="EV17" s="273"/>
      <c r="EW17" s="273"/>
      <c r="EX17" s="82">
        <f>SUM(ES17:EW17)</f>
        <v>0</v>
      </c>
      <c r="EZ17" s="274"/>
      <c r="FA17" s="273"/>
      <c r="FB17" s="273"/>
      <c r="FC17" s="273"/>
      <c r="FD17" s="273"/>
      <c r="FE17" s="82">
        <f>SUM(EZ17:FD17)</f>
        <v>0</v>
      </c>
      <c r="FG17" s="274"/>
      <c r="FH17" s="273"/>
      <c r="FI17" s="273"/>
      <c r="FJ17" s="273"/>
      <c r="FK17" s="273"/>
      <c r="FL17" s="82">
        <f>SUM(FG17:FK17)</f>
        <v>0</v>
      </c>
      <c r="FN17" s="274"/>
      <c r="FO17" s="273"/>
      <c r="FP17" s="273"/>
      <c r="FQ17" s="273"/>
      <c r="FR17" s="273"/>
      <c r="FS17">
        <f>SUM(FN17:FQ17)</f>
        <v>0</v>
      </c>
      <c r="FU17" s="274"/>
      <c r="FV17" s="273"/>
      <c r="FW17" s="273"/>
      <c r="FX17" s="273"/>
      <c r="FY17" s="273"/>
      <c r="FZ17">
        <f>SUM(FU17:FX17)</f>
        <v>0</v>
      </c>
      <c r="GA17" s="273"/>
      <c r="GB17" s="274"/>
      <c r="GC17" s="273"/>
      <c r="GD17" s="273"/>
      <c r="GE17" s="273"/>
      <c r="GF17" s="273"/>
      <c r="GG17">
        <f>SUM(GB17:GE17)</f>
        <v>0</v>
      </c>
      <c r="GH17" s="273"/>
      <c r="GI17" s="274"/>
      <c r="GJ17" s="273"/>
      <c r="GK17" s="273"/>
      <c r="GL17" s="273"/>
      <c r="GM17" s="273"/>
      <c r="GN17">
        <f>SUM(GI17:GL17)</f>
        <v>0</v>
      </c>
      <c r="GO17" s="273"/>
      <c r="GP17" s="274"/>
      <c r="GQ17" s="273"/>
      <c r="GR17" s="273"/>
      <c r="GS17" s="273"/>
      <c r="GT17" s="273"/>
      <c r="GU17">
        <f>SUM(GP17:GS17)</f>
        <v>0</v>
      </c>
      <c r="GV17" s="273"/>
      <c r="GW17" s="274"/>
      <c r="GX17" s="273"/>
      <c r="GY17" s="273"/>
      <c r="GZ17" s="273"/>
      <c r="HA17" s="273"/>
      <c r="HB17">
        <f>SUM(GW17:GZ17)</f>
        <v>0</v>
      </c>
      <c r="HC17" s="273"/>
    </row>
    <row r="18" spans="1:211" ht="12.75" customHeight="1">
      <c r="A18" s="273" t="s">
        <v>499</v>
      </c>
      <c r="B18" s="274"/>
      <c r="C18" s="273"/>
      <c r="D18" s="273"/>
      <c r="E18" s="273"/>
      <c r="F18" s="273"/>
      <c r="G18" s="82">
        <f>SUM(B18:F18)</f>
        <v>0</v>
      </c>
      <c r="H18" s="273"/>
      <c r="I18" s="274"/>
      <c r="J18" s="273"/>
      <c r="K18" s="273"/>
      <c r="L18" s="273"/>
      <c r="M18" s="273"/>
      <c r="N18" s="82">
        <f>SUM(I18:M18)</f>
        <v>0</v>
      </c>
      <c r="O18" s="273"/>
      <c r="P18" s="274"/>
      <c r="Q18" s="273"/>
      <c r="R18" s="273"/>
      <c r="S18" s="273"/>
      <c r="T18" s="273"/>
      <c r="U18" s="82">
        <f>SUM(P18:T18)</f>
        <v>0</v>
      </c>
      <c r="V18" s="273"/>
      <c r="W18" s="274"/>
      <c r="X18" s="273"/>
      <c r="Y18" s="273"/>
      <c r="Z18" s="273"/>
      <c r="AA18" s="273"/>
      <c r="AB18" s="82">
        <f>SUM(W18:AA18)</f>
        <v>0</v>
      </c>
      <c r="AD18" s="274"/>
      <c r="AE18" s="273"/>
      <c r="AF18" s="273"/>
      <c r="AG18" s="273"/>
      <c r="AH18" s="273"/>
      <c r="AI18" s="82">
        <f>SUM(AD18:AH18)</f>
        <v>0</v>
      </c>
      <c r="AK18" s="274"/>
      <c r="AL18" s="273"/>
      <c r="AM18" s="273"/>
      <c r="AN18" s="273"/>
      <c r="AO18" s="273"/>
      <c r="AP18" s="82">
        <f>SUM(AK18:AO18)</f>
        <v>0</v>
      </c>
      <c r="AR18" s="274"/>
      <c r="AS18" s="273"/>
      <c r="AT18" s="273"/>
      <c r="AU18" s="273"/>
      <c r="AV18" s="273"/>
      <c r="AW18" s="82">
        <f>SUM(AR18:AV18)</f>
        <v>0</v>
      </c>
      <c r="AY18" s="274"/>
      <c r="AZ18" s="273"/>
      <c r="BA18" s="273"/>
      <c r="BB18" s="273"/>
      <c r="BC18" s="273"/>
      <c r="BD18" s="82">
        <f>SUM(AY18:BC18)</f>
        <v>0</v>
      </c>
      <c r="BF18" s="274"/>
      <c r="BG18" s="273"/>
      <c r="BH18" s="273"/>
      <c r="BI18" s="273"/>
      <c r="BJ18" s="273"/>
      <c r="BK18" s="82">
        <f>SUM(BF18:BJ18)</f>
        <v>0</v>
      </c>
      <c r="BM18" s="274"/>
      <c r="BN18" s="273"/>
      <c r="BO18" s="273"/>
      <c r="BP18" s="273"/>
      <c r="BQ18" s="273"/>
      <c r="BR18" s="82">
        <f>SUM(BM18:BQ18)</f>
        <v>0</v>
      </c>
      <c r="BT18" s="274"/>
      <c r="BU18" s="273"/>
      <c r="BV18" s="273"/>
      <c r="BW18" s="273"/>
      <c r="BX18" s="273"/>
      <c r="BY18" s="82">
        <f>SUM(BT18:BX18)</f>
        <v>0</v>
      </c>
      <c r="CA18" s="274"/>
      <c r="CB18" s="273"/>
      <c r="CC18" s="273"/>
      <c r="CD18" s="273"/>
      <c r="CE18" s="273"/>
      <c r="CF18" s="82">
        <f>SUM(CA18:CE18)</f>
        <v>0</v>
      </c>
      <c r="CH18" s="274"/>
      <c r="CI18" s="273"/>
      <c r="CJ18" s="273"/>
      <c r="CK18" s="273"/>
      <c r="CL18" s="273"/>
      <c r="CM18" s="82">
        <f>SUM(CH18:CL18)</f>
        <v>0</v>
      </c>
      <c r="CO18" s="274"/>
      <c r="CP18" s="273"/>
      <c r="CQ18" s="273"/>
      <c r="CR18" s="273"/>
      <c r="CS18" s="273"/>
      <c r="CT18" s="82">
        <f>SUM(CO18:CS18)</f>
        <v>0</v>
      </c>
      <c r="CV18" s="274"/>
      <c r="CW18" s="273"/>
      <c r="CX18" s="273"/>
      <c r="CY18" s="273"/>
      <c r="CZ18" s="273"/>
      <c r="DA18" s="82">
        <f>SUM(CV18:CZ18)</f>
        <v>0</v>
      </c>
      <c r="DC18" s="274"/>
      <c r="DD18" s="273"/>
      <c r="DE18" s="273"/>
      <c r="DF18" s="273"/>
      <c r="DG18" s="273"/>
      <c r="DH18" s="82">
        <f>SUM(DC18:DG18)</f>
        <v>0</v>
      </c>
      <c r="DJ18" s="274"/>
      <c r="DK18" s="273"/>
      <c r="DL18" s="273"/>
      <c r="DM18" s="273"/>
      <c r="DN18" s="273"/>
      <c r="DO18" s="82">
        <f>SUM(DJ18:DN18)</f>
        <v>0</v>
      </c>
      <c r="DQ18" s="274"/>
      <c r="DR18" s="273"/>
      <c r="DS18" s="273"/>
      <c r="DT18" s="273"/>
      <c r="DU18" s="273"/>
      <c r="DV18" s="82">
        <f>SUM(DQ18:DU18)</f>
        <v>0</v>
      </c>
      <c r="DX18" s="274"/>
      <c r="DY18" s="273"/>
      <c r="DZ18" s="273"/>
      <c r="EA18" s="273"/>
      <c r="EB18" s="273"/>
      <c r="EC18" s="82">
        <f>SUM(DX18:EB18)</f>
        <v>0</v>
      </c>
      <c r="EE18" s="274"/>
      <c r="EF18" s="273"/>
      <c r="EG18" s="273"/>
      <c r="EH18" s="273"/>
      <c r="EI18" s="273"/>
      <c r="EJ18" s="82">
        <f>SUM(EE18:EI18)</f>
        <v>0</v>
      </c>
      <c r="EL18" s="274"/>
      <c r="EM18" s="273"/>
      <c r="EN18" s="273"/>
      <c r="EO18" s="273"/>
      <c r="EP18" s="273"/>
      <c r="EQ18" s="82">
        <f>SUM(EL18:EP18)</f>
        <v>0</v>
      </c>
      <c r="ES18" s="274"/>
      <c r="ET18" s="273"/>
      <c r="EU18" s="273"/>
      <c r="EV18" s="273"/>
      <c r="EW18" s="273"/>
      <c r="EX18" s="82">
        <f>SUM(ES18:EW18)</f>
        <v>0</v>
      </c>
      <c r="EZ18" s="274"/>
      <c r="FA18" s="273"/>
      <c r="FB18" s="273"/>
      <c r="FC18" s="273"/>
      <c r="FD18" s="273"/>
      <c r="FE18" s="82">
        <f>SUM(EZ18:FD18)</f>
        <v>0</v>
      </c>
      <c r="FG18" s="274"/>
      <c r="FH18" s="273"/>
      <c r="FI18" s="273"/>
      <c r="FJ18" s="273"/>
      <c r="FK18" s="273"/>
      <c r="FL18" s="82">
        <f>SUM(FG18:FK18)</f>
        <v>0</v>
      </c>
      <c r="FN18" s="274"/>
      <c r="FO18" s="273"/>
      <c r="FP18" s="273"/>
      <c r="FQ18" s="273"/>
      <c r="FR18" s="273"/>
      <c r="FS18">
        <f>SUM(FN18:FQ18)</f>
        <v>0</v>
      </c>
      <c r="FU18" s="274"/>
      <c r="FV18" s="273"/>
      <c r="FW18" s="273"/>
      <c r="FX18" s="273"/>
      <c r="FY18" s="273"/>
      <c r="FZ18">
        <f>SUM(FU18:FX18)</f>
        <v>0</v>
      </c>
      <c r="GA18" s="273"/>
      <c r="GB18" s="274"/>
      <c r="GC18" s="273"/>
      <c r="GD18" s="273"/>
      <c r="GE18" s="273"/>
      <c r="GF18" s="273"/>
      <c r="GG18">
        <f>SUM(GB18:GE18)</f>
        <v>0</v>
      </c>
      <c r="GH18" s="273"/>
      <c r="GI18" s="274"/>
      <c r="GJ18" s="273"/>
      <c r="GK18" s="273"/>
      <c r="GL18" s="273"/>
      <c r="GM18" s="273"/>
      <c r="GN18">
        <f>SUM(GI18:GL18)</f>
        <v>0</v>
      </c>
      <c r="GO18" s="273"/>
      <c r="GP18" s="274"/>
      <c r="GQ18" s="273"/>
      <c r="GR18" s="273"/>
      <c r="GS18" s="273"/>
      <c r="GT18" s="273"/>
      <c r="GU18">
        <f>SUM(GP18:GS18)</f>
        <v>0</v>
      </c>
      <c r="GV18" s="273"/>
      <c r="GW18" s="274"/>
      <c r="GX18" s="273"/>
      <c r="GY18" s="273"/>
      <c r="GZ18" s="273"/>
      <c r="HA18" s="273"/>
      <c r="HB18">
        <f>SUM(GW18:GZ18)</f>
        <v>0</v>
      </c>
      <c r="HC18" s="273"/>
    </row>
    <row r="19" spans="1:211" ht="12.75" customHeight="1">
      <c r="A19" s="273" t="s">
        <v>500</v>
      </c>
      <c r="B19" s="272"/>
      <c r="C19" s="273"/>
      <c r="D19" s="273"/>
      <c r="E19" s="273"/>
      <c r="F19" s="273"/>
      <c r="G19" s="82">
        <f>SUM(B19:F19)</f>
        <v>0</v>
      </c>
      <c r="H19" s="273"/>
      <c r="I19" s="272"/>
      <c r="J19" s="273"/>
      <c r="K19" s="273"/>
      <c r="L19" s="273"/>
      <c r="M19" s="273"/>
      <c r="N19" s="82">
        <f>SUM(I19:M19)</f>
        <v>0</v>
      </c>
      <c r="O19" s="273"/>
      <c r="P19" s="272"/>
      <c r="Q19" s="273"/>
      <c r="R19" s="273"/>
      <c r="S19" s="273"/>
      <c r="T19" s="273"/>
      <c r="U19" s="82">
        <f>SUM(P19:T19)</f>
        <v>0</v>
      </c>
      <c r="V19" s="273"/>
      <c r="W19" s="272"/>
      <c r="X19" s="273"/>
      <c r="Y19" s="273"/>
      <c r="Z19" s="273"/>
      <c r="AA19" s="273"/>
      <c r="AB19" s="82">
        <f>SUM(W19:AA19)</f>
        <v>0</v>
      </c>
      <c r="AD19" s="272"/>
      <c r="AE19" s="273"/>
      <c r="AF19" s="273"/>
      <c r="AG19" s="273"/>
      <c r="AH19" s="273"/>
      <c r="AI19" s="82">
        <f>SUM(AD19:AH19)</f>
        <v>0</v>
      </c>
      <c r="AK19" s="272"/>
      <c r="AL19" s="273"/>
      <c r="AM19" s="273"/>
      <c r="AN19" s="273"/>
      <c r="AO19" s="273"/>
      <c r="AP19" s="82">
        <f>SUM(AK19:AO19)</f>
        <v>0</v>
      </c>
      <c r="AR19" s="272"/>
      <c r="AS19" s="273"/>
      <c r="AT19" s="273"/>
      <c r="AU19" s="273"/>
      <c r="AV19" s="273"/>
      <c r="AW19" s="82">
        <f>SUM(AR19:AV19)</f>
        <v>0</v>
      </c>
      <c r="AY19" s="272"/>
      <c r="AZ19" s="273"/>
      <c r="BA19" s="273"/>
      <c r="BB19" s="273"/>
      <c r="BC19" s="273"/>
      <c r="BD19" s="82">
        <f>SUM(AY19:BC19)</f>
        <v>0</v>
      </c>
      <c r="BF19" s="272"/>
      <c r="BG19" s="273"/>
      <c r="BH19" s="273"/>
      <c r="BI19" s="273"/>
      <c r="BJ19" s="273"/>
      <c r="BK19" s="82">
        <f>SUM(BF19:BJ19)</f>
        <v>0</v>
      </c>
      <c r="BM19" s="272"/>
      <c r="BN19" s="273"/>
      <c r="BO19" s="273"/>
      <c r="BP19" s="273"/>
      <c r="BQ19" s="273"/>
      <c r="BR19" s="82">
        <f>SUM(BM19:BQ19)</f>
        <v>0</v>
      </c>
      <c r="BT19" s="272"/>
      <c r="BU19" s="273"/>
      <c r="BV19" s="273"/>
      <c r="BW19" s="273"/>
      <c r="BX19" s="273"/>
      <c r="BY19" s="82">
        <f>SUM(BT19:BX19)</f>
        <v>0</v>
      </c>
      <c r="CA19" s="272"/>
      <c r="CB19" s="273"/>
      <c r="CC19" s="273"/>
      <c r="CD19" s="273"/>
      <c r="CE19" s="273"/>
      <c r="CF19" s="82">
        <f>SUM(CA19:CE19)</f>
        <v>0</v>
      </c>
      <c r="CH19" s="272"/>
      <c r="CI19" s="273"/>
      <c r="CJ19" s="273"/>
      <c r="CK19" s="273"/>
      <c r="CL19" s="273"/>
      <c r="CM19" s="82">
        <f>SUM(CH19:CL19)</f>
        <v>0</v>
      </c>
      <c r="CO19" s="272"/>
      <c r="CP19" s="273"/>
      <c r="CQ19" s="273"/>
      <c r="CR19" s="273"/>
      <c r="CS19" s="273"/>
      <c r="CT19" s="82">
        <f>SUM(CO19:CS19)</f>
        <v>0</v>
      </c>
      <c r="CV19" s="272"/>
      <c r="CW19" s="273"/>
      <c r="CX19" s="273"/>
      <c r="CY19" s="273"/>
      <c r="CZ19" s="273"/>
      <c r="DA19" s="82">
        <f>SUM(CV19:CZ19)</f>
        <v>0</v>
      </c>
      <c r="DC19" s="272"/>
      <c r="DD19" s="273"/>
      <c r="DE19" s="273"/>
      <c r="DF19" s="273"/>
      <c r="DG19" s="273"/>
      <c r="DH19" s="82">
        <f>SUM(DC19:DG19)</f>
        <v>0</v>
      </c>
      <c r="DJ19" s="272"/>
      <c r="DK19" s="273"/>
      <c r="DL19" s="273"/>
      <c r="DM19" s="273"/>
      <c r="DN19" s="273"/>
      <c r="DO19" s="82">
        <f>SUM(DJ19:DN19)</f>
        <v>0</v>
      </c>
      <c r="DQ19" s="272"/>
      <c r="DR19" s="273"/>
      <c r="DS19" s="273"/>
      <c r="DT19" s="273"/>
      <c r="DU19" s="273"/>
      <c r="DV19" s="82">
        <f>SUM(DQ19:DU19)</f>
        <v>0</v>
      </c>
      <c r="DX19" s="272"/>
      <c r="DY19" s="273"/>
      <c r="DZ19" s="273"/>
      <c r="EA19" s="273"/>
      <c r="EB19" s="273"/>
      <c r="EC19" s="82">
        <f>SUM(DX19:EB19)</f>
        <v>0</v>
      </c>
      <c r="EE19" s="272"/>
      <c r="EF19" s="273"/>
      <c r="EG19" s="273"/>
      <c r="EH19" s="273"/>
      <c r="EI19" s="273"/>
      <c r="EJ19" s="82">
        <f>SUM(EE19:EI19)</f>
        <v>0</v>
      </c>
      <c r="EL19" s="272"/>
      <c r="EM19" s="273"/>
      <c r="EN19" s="273"/>
      <c r="EO19" s="273"/>
      <c r="EP19" s="273"/>
      <c r="EQ19" s="82">
        <f>SUM(EL19:EP19)</f>
        <v>0</v>
      </c>
      <c r="ET19" s="273"/>
      <c r="EU19" s="273"/>
      <c r="EV19" s="273"/>
      <c r="EW19" s="273"/>
      <c r="EX19" s="82">
        <f>SUM(ES19:EW19)</f>
        <v>0</v>
      </c>
      <c r="FA19" s="273"/>
      <c r="FB19" s="273"/>
      <c r="FC19" s="273"/>
      <c r="FD19" s="273"/>
      <c r="FE19" s="82">
        <f>SUM(EZ19:FD19)</f>
        <v>0</v>
      </c>
      <c r="FG19">
        <v>320</v>
      </c>
      <c r="FH19" s="273"/>
      <c r="FI19" s="273"/>
      <c r="FJ19" s="273"/>
      <c r="FK19" s="273"/>
      <c r="FL19" s="82">
        <f>SUM(FG19:FK19)</f>
        <v>320</v>
      </c>
      <c r="FN19">
        <v>320</v>
      </c>
      <c r="FO19" s="273"/>
      <c r="FP19" s="273"/>
      <c r="FQ19" s="273"/>
      <c r="FR19" s="273"/>
      <c r="FS19">
        <f>SUM(FN19:FQ19)</f>
        <v>320</v>
      </c>
      <c r="FV19" s="273"/>
      <c r="FW19" s="273"/>
      <c r="FX19" s="273"/>
      <c r="FY19" s="273"/>
      <c r="FZ19">
        <f>SUM(FU19:FX19)</f>
        <v>0</v>
      </c>
      <c r="GA19" s="273"/>
      <c r="GC19" s="273"/>
      <c r="GD19" s="273"/>
      <c r="GE19" s="273"/>
      <c r="GF19" s="273"/>
      <c r="GG19">
        <f>SUM(GB19:GE19)</f>
        <v>0</v>
      </c>
      <c r="GH19" s="273"/>
      <c r="GI19" s="352">
        <f>1067318.64-GI41</f>
        <v>96522.249999999884</v>
      </c>
      <c r="GJ19" s="273"/>
      <c r="GK19" s="273"/>
      <c r="GL19" s="273"/>
      <c r="GM19" s="273"/>
      <c r="GN19">
        <f>SUM(GI19:GL19)</f>
        <v>96522.249999999884</v>
      </c>
      <c r="GO19" s="273"/>
      <c r="GP19" s="352">
        <f>1074245.95-GP41</f>
        <v>103449.55999999994</v>
      </c>
      <c r="GQ19" s="273"/>
      <c r="GR19" s="273"/>
      <c r="GS19" s="273"/>
      <c r="GT19" s="273"/>
      <c r="GU19">
        <f>SUM(GP19:GS19)</f>
        <v>103449.55999999994</v>
      </c>
      <c r="GV19" s="273"/>
      <c r="GW19" s="272">
        <v>4247.82</v>
      </c>
      <c r="GX19" s="273"/>
      <c r="GY19" s="273"/>
      <c r="GZ19" s="273"/>
      <c r="HA19" s="273"/>
      <c r="HB19">
        <f>SUM(GW19:GZ19)</f>
        <v>4247.82</v>
      </c>
      <c r="HC19" s="273"/>
    </row>
    <row r="20" spans="1:211" ht="12.75" customHeight="1">
      <c r="A20" s="273" t="s">
        <v>501</v>
      </c>
      <c r="B20" s="272"/>
      <c r="C20" s="545">
        <f>-SUMPRODUCT((ANSC!$B$3:$B$2399="3rd party Other income/(expense)")*(MONTH(date)&lt;=MONTH('ANSC-TB'!$G$5)),(ANSC!$K$3:$V$2399))-C41</f>
        <v>0</v>
      </c>
      <c r="D20" s="274"/>
      <c r="E20" s="273"/>
      <c r="F20" s="53"/>
      <c r="G20" s="82">
        <f>SUM(B20:F20)</f>
        <v>0</v>
      </c>
      <c r="H20" s="273"/>
      <c r="I20" s="272"/>
      <c r="J20" s="545">
        <v>97386.11</v>
      </c>
      <c r="K20" s="274"/>
      <c r="L20" s="273"/>
      <c r="M20" s="53">
        <v>-24818.75</v>
      </c>
      <c r="N20" s="82">
        <f>SUM(I20:M20)</f>
        <v>72567.360000000001</v>
      </c>
      <c r="O20" s="273"/>
      <c r="P20" s="272"/>
      <c r="Q20" s="545">
        <v>24818.749999999996</v>
      </c>
      <c r="R20" s="274"/>
      <c r="S20" s="273"/>
      <c r="T20" s="53">
        <v>-24818.749999999996</v>
      </c>
      <c r="U20" s="82">
        <f>SUM(P20:T20)</f>
        <v>0</v>
      </c>
      <c r="V20" s="273"/>
      <c r="W20" s="272"/>
      <c r="X20" s="53">
        <v>10794.25</v>
      </c>
      <c r="Y20" s="274"/>
      <c r="Z20" s="273"/>
      <c r="AA20" s="53">
        <v>-10794.25</v>
      </c>
      <c r="AB20" s="82">
        <f>SUM(W20:AA20)</f>
        <v>0</v>
      </c>
      <c r="AC20" s="82"/>
      <c r="AD20" s="272"/>
      <c r="AE20" s="53">
        <f>10794.25</f>
        <v>10794.25</v>
      </c>
      <c r="AF20" s="274"/>
      <c r="AG20" s="273"/>
      <c r="AH20" s="53">
        <f>-AE20</f>
        <v>-10794.25</v>
      </c>
      <c r="AI20" s="82">
        <f>SUM(AD20:AH20)</f>
        <v>0</v>
      </c>
      <c r="AJ20" s="82"/>
      <c r="AK20" s="272"/>
      <c r="AL20" s="53">
        <v>26832.75</v>
      </c>
      <c r="AM20" s="274"/>
      <c r="AN20" s="273"/>
      <c r="AO20" s="53">
        <f>-AL20</f>
        <v>-26832.75</v>
      </c>
      <c r="AP20" s="82">
        <f>SUM(AK20:AO20)</f>
        <v>0</v>
      </c>
      <c r="AQ20" s="82"/>
      <c r="AR20" s="272"/>
      <c r="AS20" s="53">
        <v>25127.75</v>
      </c>
      <c r="AT20" s="274"/>
      <c r="AU20" s="273"/>
      <c r="AV20" s="53">
        <f>-AS20</f>
        <v>-25127.75</v>
      </c>
      <c r="AW20" s="82">
        <f>SUM(AR20:AV20)</f>
        <v>0</v>
      </c>
      <c r="AX20" s="82"/>
      <c r="AY20" s="272"/>
      <c r="AZ20" s="53">
        <v>19782.75</v>
      </c>
      <c r="BA20" s="274"/>
      <c r="BB20" s="273"/>
      <c r="BC20" s="53">
        <f>-AZ20</f>
        <v>-19782.75</v>
      </c>
      <c r="BD20" s="82">
        <f>SUM(AY20:BC20)</f>
        <v>0</v>
      </c>
      <c r="BE20" s="82"/>
      <c r="BF20" s="272"/>
      <c r="BG20" s="53">
        <v>14774.75</v>
      </c>
      <c r="BH20" s="274"/>
      <c r="BI20" s="273"/>
      <c r="BJ20" s="53">
        <f>-BG20</f>
        <v>-14774.75</v>
      </c>
      <c r="BK20" s="82">
        <f>SUM(BF20:BJ20)</f>
        <v>0</v>
      </c>
      <c r="BL20" s="82"/>
      <c r="BM20" s="272"/>
      <c r="BN20" s="53">
        <v>27610.95</v>
      </c>
      <c r="BO20" s="274"/>
      <c r="BP20" s="273"/>
      <c r="BQ20" s="53">
        <v>-4594.25</v>
      </c>
      <c r="BR20" s="82">
        <f>SUM(BM20:BQ20)</f>
        <v>23016.7</v>
      </c>
      <c r="BS20" s="82"/>
      <c r="BT20" s="272"/>
      <c r="BU20" s="53">
        <v>21516.7</v>
      </c>
      <c r="BV20" s="274"/>
      <c r="BW20" s="273"/>
      <c r="BX20" s="53"/>
      <c r="BY20" s="82">
        <f>SUM(BT20:BX20)</f>
        <v>21516.7</v>
      </c>
      <c r="CA20" s="272"/>
      <c r="CB20" s="53">
        <v>21516.7</v>
      </c>
      <c r="CC20" s="274"/>
      <c r="CD20" s="273"/>
      <c r="CE20" s="53"/>
      <c r="CF20" s="82">
        <f>SUM(CA20:CE20)</f>
        <v>21516.7</v>
      </c>
      <c r="CH20" s="272"/>
      <c r="CI20" s="53">
        <v>20146.400000000001</v>
      </c>
      <c r="CJ20" s="273"/>
      <c r="CK20" s="273"/>
      <c r="CL20" s="53"/>
      <c r="CM20" s="82">
        <f>SUM(CH20:CL20)</f>
        <v>20146.400000000001</v>
      </c>
      <c r="CO20" s="272"/>
      <c r="CP20" s="53">
        <v>5412</v>
      </c>
      <c r="CQ20" s="273"/>
      <c r="CR20" s="273"/>
      <c r="CS20" s="53">
        <f>-CP20</f>
        <v>-5412</v>
      </c>
      <c r="CT20" s="82">
        <f>SUM(CO20:CS20)</f>
        <v>0</v>
      </c>
      <c r="CV20" s="272"/>
      <c r="CW20" s="53">
        <v>17414.75</v>
      </c>
      <c r="CX20" s="273"/>
      <c r="CY20" s="273"/>
      <c r="CZ20" s="53">
        <f>-CW20</f>
        <v>-17414.75</v>
      </c>
      <c r="DA20" s="82">
        <f>SUM(CV20:CZ20)</f>
        <v>0</v>
      </c>
      <c r="DC20" s="272"/>
      <c r="DD20" s="53">
        <v>17414.75</v>
      </c>
      <c r="DE20" s="273"/>
      <c r="DF20" s="273"/>
      <c r="DG20" s="53">
        <f>-DD20</f>
        <v>-17414.75</v>
      </c>
      <c r="DH20" s="82">
        <f>SUM(DC20:DG20)</f>
        <v>0</v>
      </c>
      <c r="DJ20" s="272"/>
      <c r="DK20" s="53"/>
      <c r="DL20" s="273"/>
      <c r="DM20" s="273"/>
      <c r="DN20" s="53"/>
      <c r="DO20" s="82">
        <f>SUM(DJ20:DN20)</f>
        <v>0</v>
      </c>
      <c r="DQ20" s="272"/>
      <c r="DR20" s="53"/>
      <c r="DS20" s="273"/>
      <c r="DT20" s="273"/>
      <c r="DU20" s="53"/>
      <c r="DV20" s="82">
        <f>SUM(DQ20:DU20)</f>
        <v>0</v>
      </c>
      <c r="DX20" s="272"/>
      <c r="DY20" s="53"/>
      <c r="DZ20" s="273"/>
      <c r="EA20" s="273"/>
      <c r="EB20" s="53"/>
      <c r="EC20" s="82">
        <f>SUM(DX20:EB20)</f>
        <v>0</v>
      </c>
      <c r="EE20" s="272"/>
      <c r="EF20" s="53"/>
      <c r="EG20" s="273"/>
      <c r="EH20" s="273"/>
      <c r="EI20" s="53"/>
      <c r="EJ20" s="82">
        <f>SUM(EE20:EI20)</f>
        <v>0</v>
      </c>
      <c r="EL20" s="272"/>
      <c r="EM20" s="53"/>
      <c r="EN20" s="273"/>
      <c r="EO20" s="273"/>
      <c r="EP20" s="53"/>
      <c r="EQ20" s="82">
        <f>SUM(EL20:EP20)</f>
        <v>0</v>
      </c>
      <c r="ES20" s="272"/>
      <c r="ET20" s="53"/>
      <c r="EU20" s="273"/>
      <c r="EV20" s="273"/>
      <c r="EW20" s="53"/>
      <c r="EX20" s="82">
        <f>SUM(ES20:EW20)</f>
        <v>0</v>
      </c>
      <c r="EZ20" s="272">
        <v>36518</v>
      </c>
      <c r="FA20" s="53">
        <v>7041.25</v>
      </c>
      <c r="FB20" s="273"/>
      <c r="FC20" s="273"/>
      <c r="FD20" s="53">
        <v>-7041.25</v>
      </c>
      <c r="FE20" s="82">
        <f>SUM(EZ20:FD20)</f>
        <v>36518</v>
      </c>
      <c r="FG20" s="272">
        <v>36518</v>
      </c>
      <c r="FH20" s="53">
        <v>6818.5</v>
      </c>
      <c r="FK20" s="53">
        <v>-6818.5</v>
      </c>
      <c r="FL20" s="82">
        <f>SUM(FG20:FK20)</f>
        <v>36518</v>
      </c>
      <c r="FN20" s="272">
        <v>36518</v>
      </c>
      <c r="FO20" s="7">
        <v>0</v>
      </c>
      <c r="FP20" s="273"/>
      <c r="FQ20" s="273"/>
      <c r="FR20" s="273"/>
      <c r="FS20">
        <f>SUM(FN20:FQ20)</f>
        <v>36518</v>
      </c>
      <c r="FU20" s="272"/>
      <c r="FV20" s="7">
        <v>0</v>
      </c>
      <c r="FW20" s="273"/>
      <c r="FX20" s="273"/>
      <c r="FY20" s="273"/>
      <c r="FZ20">
        <f>SUM(FU20:FX20)</f>
        <v>0</v>
      </c>
      <c r="GA20" s="273"/>
      <c r="GB20" s="272"/>
      <c r="GC20" s="7">
        <v>3696</v>
      </c>
      <c r="GD20" s="273"/>
      <c r="GE20" s="273"/>
      <c r="GF20" s="273"/>
      <c r="GG20">
        <f>SUM(GB20:GE20)</f>
        <v>3696</v>
      </c>
      <c r="GH20" s="273"/>
      <c r="GI20" s="272"/>
      <c r="GJ20" s="7">
        <v>3696</v>
      </c>
      <c r="GK20" s="273"/>
      <c r="GL20" s="273"/>
      <c r="GM20" s="273"/>
      <c r="GN20">
        <f>SUM(GI20:GL20)</f>
        <v>3696</v>
      </c>
      <c r="GO20" s="273"/>
      <c r="GP20" s="272"/>
      <c r="GQ20" s="10">
        <v>2876</v>
      </c>
      <c r="GR20" s="273"/>
      <c r="GS20" s="273"/>
      <c r="GT20" s="273"/>
      <c r="GU20">
        <f>SUM(GP20:GS20)</f>
        <v>2876</v>
      </c>
      <c r="GV20" s="273"/>
      <c r="GW20" s="272"/>
      <c r="GX20" s="273"/>
      <c r="GY20" s="273"/>
      <c r="GZ20" s="273"/>
      <c r="HA20" s="273"/>
      <c r="HB20">
        <f>SUM(GW20:GZ20)</f>
        <v>0</v>
      </c>
      <c r="HC20" s="273"/>
    </row>
    <row r="21" spans="1:211" ht="12.75" customHeight="1">
      <c r="A21" s="30"/>
      <c r="B21" s="276">
        <f t="shared" ref="B21:G21" si="1">SUM(B16:B20)</f>
        <v>11544</v>
      </c>
      <c r="C21" s="276">
        <f t="shared" si="1"/>
        <v>0</v>
      </c>
      <c r="D21" s="276">
        <f t="shared" si="1"/>
        <v>0</v>
      </c>
      <c r="E21" s="276">
        <f t="shared" si="1"/>
        <v>0</v>
      </c>
      <c r="F21" s="276">
        <f t="shared" si="1"/>
        <v>0</v>
      </c>
      <c r="G21" s="276">
        <f t="shared" si="1"/>
        <v>11544</v>
      </c>
      <c r="H21" s="30"/>
      <c r="I21" s="276">
        <v>8403</v>
      </c>
      <c r="J21" s="276">
        <v>97386.11</v>
      </c>
      <c r="K21" s="276">
        <v>0</v>
      </c>
      <c r="L21" s="276">
        <v>0</v>
      </c>
      <c r="M21" s="276"/>
      <c r="N21" s="276">
        <f>SUM(N16:N20)</f>
        <v>80970.36</v>
      </c>
      <c r="O21" s="30"/>
      <c r="P21" s="276">
        <v>8403</v>
      </c>
      <c r="Q21" s="276">
        <v>24818.749999999996</v>
      </c>
      <c r="R21" s="276">
        <v>0</v>
      </c>
      <c r="S21" s="276">
        <v>0</v>
      </c>
      <c r="T21" s="276"/>
      <c r="U21" s="276">
        <f>SUM(U16:U20)</f>
        <v>8403</v>
      </c>
      <c r="V21" s="30"/>
      <c r="W21" s="276">
        <v>0</v>
      </c>
      <c r="X21" s="276">
        <v>10794.25</v>
      </c>
      <c r="Y21" s="276">
        <v>0</v>
      </c>
      <c r="Z21" s="276">
        <v>0</v>
      </c>
      <c r="AA21" s="276"/>
      <c r="AB21" s="276">
        <f>SUM(AB16:AB20)</f>
        <v>8403</v>
      </c>
      <c r="AC21" s="416"/>
      <c r="AD21" s="276">
        <f>SUM(AD16:AD20)</f>
        <v>0</v>
      </c>
      <c r="AE21" s="276">
        <f>SUM(AE16:AE20)</f>
        <v>10794.25</v>
      </c>
      <c r="AF21" s="276">
        <f>SUM(AF16:AF20)</f>
        <v>0</v>
      </c>
      <c r="AG21" s="276">
        <f>SUM(AG16:AG20)</f>
        <v>0</v>
      </c>
      <c r="AH21" s="276"/>
      <c r="AI21" s="276">
        <f>SUM(AI16:AI20)</f>
        <v>0</v>
      </c>
      <c r="AJ21" s="416"/>
      <c r="AK21" s="276">
        <f>SUM(AK16:AK20)</f>
        <v>7288.27</v>
      </c>
      <c r="AL21" s="276">
        <f>SUM(AL16:AL20)</f>
        <v>26832.75</v>
      </c>
      <c r="AM21" s="276">
        <f>SUM(AM16:AM20)</f>
        <v>0</v>
      </c>
      <c r="AN21" s="276">
        <f>SUM(AN16:AN20)</f>
        <v>0</v>
      </c>
      <c r="AO21" s="276"/>
      <c r="AP21" s="276">
        <f>SUM(AP16:AP20)</f>
        <v>7288.27</v>
      </c>
      <c r="AQ21" s="416"/>
      <c r="AR21" s="276">
        <f>SUM(AR16:AR20)</f>
        <v>7288.27</v>
      </c>
      <c r="AS21" s="276">
        <f>SUM(AS16:AS20)</f>
        <v>25127.75</v>
      </c>
      <c r="AT21" s="276">
        <f>SUM(AT16:AT20)</f>
        <v>0</v>
      </c>
      <c r="AU21" s="276">
        <f>SUM(AU16:AU20)</f>
        <v>0</v>
      </c>
      <c r="AV21" s="276"/>
      <c r="AW21" s="276">
        <f>SUM(AW16:AW20)</f>
        <v>7288.27</v>
      </c>
      <c r="AX21" s="416"/>
      <c r="AY21" s="276">
        <f>SUM(AY16:AY20)</f>
        <v>7288.27</v>
      </c>
      <c r="AZ21" s="276">
        <f>SUM(AZ16:AZ20)</f>
        <v>19782.75</v>
      </c>
      <c r="BA21" s="276">
        <f>SUM(BA16:BA20)</f>
        <v>0</v>
      </c>
      <c r="BB21" s="276">
        <f>SUM(BB16:BB20)</f>
        <v>0</v>
      </c>
      <c r="BC21" s="276"/>
      <c r="BD21" s="276">
        <f>SUM(BD16:BD20)</f>
        <v>7288.27</v>
      </c>
      <c r="BE21" s="416"/>
      <c r="BF21" s="276">
        <f>SUM(BF16:BF20)</f>
        <v>0</v>
      </c>
      <c r="BG21" s="276">
        <f>SUM(BG16:BG20)</f>
        <v>14774.75</v>
      </c>
      <c r="BH21" s="276">
        <f>SUM(BH16:BH20)</f>
        <v>0</v>
      </c>
      <c r="BI21" s="276">
        <f>SUM(BI16:BI20)</f>
        <v>0</v>
      </c>
      <c r="BJ21" s="276"/>
      <c r="BK21" s="276">
        <f>SUM(BK16:BK20)</f>
        <v>0</v>
      </c>
      <c r="BL21" s="416"/>
      <c r="BM21" s="276">
        <f>SUM(BM16:BM20)</f>
        <v>38658.400000000001</v>
      </c>
      <c r="BN21" s="276">
        <f>SUM(BN16:BN20)</f>
        <v>27610.95</v>
      </c>
      <c r="BO21" s="276">
        <f>SUM(BO16:BO20)</f>
        <v>0</v>
      </c>
      <c r="BP21" s="276">
        <f>SUM(BP16:BP20)</f>
        <v>0</v>
      </c>
      <c r="BQ21" s="276"/>
      <c r="BR21" s="276">
        <f>SUM(BR16:BR20)</f>
        <v>61675.100000000006</v>
      </c>
      <c r="BS21" s="416"/>
      <c r="BT21" s="276">
        <f>SUM(BT16:BT20)</f>
        <v>38658.400000000001</v>
      </c>
      <c r="BU21" s="276">
        <f>SUM(BU16:BU20)</f>
        <v>21516.7</v>
      </c>
      <c r="BV21" s="276">
        <f>SUM(BV16:BV20)</f>
        <v>0</v>
      </c>
      <c r="BW21" s="276">
        <f>SUM(BW16:BW20)</f>
        <v>0</v>
      </c>
      <c r="BX21" s="276"/>
      <c r="BY21" s="276">
        <f>SUM(BY16:BY20)</f>
        <v>60175.100000000006</v>
      </c>
      <c r="BZ21" s="416"/>
      <c r="CA21" s="276">
        <f>SUM(CA16:CA20)</f>
        <v>38658.400000000001</v>
      </c>
      <c r="CB21" s="276">
        <f>SUM(CB16:CB20)</f>
        <v>21516.7</v>
      </c>
      <c r="CC21" s="276">
        <f>SUM(CC16:CC20)</f>
        <v>0</v>
      </c>
      <c r="CD21" s="276">
        <f>SUM(CD16:CD20)</f>
        <v>0</v>
      </c>
      <c r="CE21" s="276"/>
      <c r="CF21" s="276">
        <f>SUM(CF16:CF20)</f>
        <v>60175.100000000006</v>
      </c>
      <c r="CG21" s="416"/>
      <c r="CH21" s="276">
        <f>SUM(CH16:CH20)</f>
        <v>29782.400000000001</v>
      </c>
      <c r="CI21" s="276">
        <f>SUM(CI16:CI20)</f>
        <v>20146.400000000001</v>
      </c>
      <c r="CJ21" s="276">
        <f>SUM(CJ16:CJ20)</f>
        <v>0</v>
      </c>
      <c r="CK21" s="276">
        <f>SUM(CK16:CK20)</f>
        <v>0</v>
      </c>
      <c r="CL21" s="276"/>
      <c r="CM21" s="276">
        <f>SUM(CM16:CM20)</f>
        <v>49928.800000000003</v>
      </c>
      <c r="CN21" s="416"/>
      <c r="CO21" s="276">
        <f>SUM(CO16:CO20)</f>
        <v>0</v>
      </c>
      <c r="CP21" s="276">
        <f>SUM(CP16:CP20)</f>
        <v>5412</v>
      </c>
      <c r="CQ21" s="276">
        <f>SUM(CQ16:CQ20)</f>
        <v>0</v>
      </c>
      <c r="CR21" s="276">
        <f>SUM(CR16:CR20)</f>
        <v>0</v>
      </c>
      <c r="CS21" s="276"/>
      <c r="CT21" s="276">
        <f>SUM(CT16:CT20)</f>
        <v>0</v>
      </c>
      <c r="CU21" s="416"/>
      <c r="CV21" s="276">
        <f>SUM(CV16:CV20)</f>
        <v>295626.12</v>
      </c>
      <c r="CW21" s="276">
        <f>SUM(CW16:CW20)</f>
        <v>4092614.75</v>
      </c>
      <c r="CX21" s="276">
        <f>SUM(CX16:CX20)</f>
        <v>0</v>
      </c>
      <c r="CY21" s="276">
        <f>SUM(CY16:CY20)</f>
        <v>0</v>
      </c>
      <c r="CZ21" s="276"/>
      <c r="DA21" s="276">
        <f>SUM(DA16:DA20)</f>
        <v>4370826.12</v>
      </c>
      <c r="DB21" s="416"/>
      <c r="DC21" s="276">
        <f>SUM(DC16:DC20)</f>
        <v>295626.12</v>
      </c>
      <c r="DD21" s="276">
        <f>SUM(DD16:DD20)</f>
        <v>4092614.75</v>
      </c>
      <c r="DE21" s="276">
        <f>SUM(DE16:DE20)</f>
        <v>0</v>
      </c>
      <c r="DF21" s="276">
        <f>SUM(DF16:DF20)</f>
        <v>0</v>
      </c>
      <c r="DG21" s="276"/>
      <c r="DH21" s="276">
        <f>SUM(DH16:DH20)</f>
        <v>4370826.12</v>
      </c>
      <c r="DI21" s="416"/>
      <c r="DJ21" s="276">
        <f>SUM(DJ16:DJ20)</f>
        <v>173820.42</v>
      </c>
      <c r="DK21" s="276">
        <f>SUM(DK16:DK20)</f>
        <v>2887920</v>
      </c>
      <c r="DL21" s="276">
        <f>SUM(DL16:DL20)</f>
        <v>0</v>
      </c>
      <c r="DM21" s="276">
        <f>SUM(DM16:DM20)</f>
        <v>0</v>
      </c>
      <c r="DN21" s="276"/>
      <c r="DO21" s="276">
        <f>SUM(DO16:DO20)</f>
        <v>3061740.42</v>
      </c>
      <c r="DP21" s="416"/>
      <c r="DQ21" s="276">
        <f>SUM(DQ16:DQ20)</f>
        <v>137882.07</v>
      </c>
      <c r="DR21" s="276">
        <f>SUM(DR16:DR20)</f>
        <v>0</v>
      </c>
      <c r="DS21" s="276">
        <f>SUM(DS16:DS20)</f>
        <v>0</v>
      </c>
      <c r="DT21" s="276">
        <f>SUM(DT16:DT20)</f>
        <v>0</v>
      </c>
      <c r="DU21" s="276"/>
      <c r="DV21" s="276">
        <f>SUM(DV16:DV20)</f>
        <v>137882.07</v>
      </c>
      <c r="DW21" s="416"/>
      <c r="DX21" s="276">
        <f>SUM(DX16:DX20)</f>
        <v>7424075.9699999997</v>
      </c>
      <c r="DY21" s="276">
        <f>SUM(DY16:DY20)</f>
        <v>12918143.75</v>
      </c>
      <c r="DZ21" s="276">
        <f>SUM(DZ16:DZ20)</f>
        <v>0</v>
      </c>
      <c r="EA21" s="276">
        <f>SUM(EA16:EA20)</f>
        <v>0</v>
      </c>
      <c r="EB21" s="276"/>
      <c r="EC21" s="276">
        <f>SUM(EC16:EC20)</f>
        <v>20342219.719999999</v>
      </c>
      <c r="ED21" s="416"/>
      <c r="EE21" s="276">
        <f>SUM(EE16:EE20)</f>
        <v>6851865.3700000001</v>
      </c>
      <c r="EF21" s="276">
        <f>SUM(EF16:EF20)</f>
        <v>11287023.23</v>
      </c>
      <c r="EG21" s="276">
        <f>SUM(EG16:EG20)</f>
        <v>0</v>
      </c>
      <c r="EH21" s="276">
        <f>SUM(EH16:EH20)</f>
        <v>0</v>
      </c>
      <c r="EI21" s="276"/>
      <c r="EJ21" s="276">
        <f>SUM(EJ16:EJ20)</f>
        <v>18138888.600000001</v>
      </c>
      <c r="EK21" s="416"/>
      <c r="EL21" s="276">
        <f>SUM(EL16:EL20)</f>
        <v>6826420.7699999996</v>
      </c>
      <c r="EM21" s="276">
        <f>SUM(EM16:EM20)</f>
        <v>7823177.2300000004</v>
      </c>
      <c r="EN21" s="276">
        <f>SUM(EN16:EN20)</f>
        <v>0</v>
      </c>
      <c r="EO21" s="276">
        <f>SUM(EO16:EO20)</f>
        <v>0</v>
      </c>
      <c r="EP21" s="276"/>
      <c r="EQ21" s="276">
        <f>SUM(EQ16:EQ20)</f>
        <v>14649598</v>
      </c>
      <c r="ER21" s="416"/>
      <c r="ES21" s="276">
        <f>SUM(ES16:ES20)</f>
        <v>40669.15</v>
      </c>
      <c r="ET21" s="276">
        <f>SUM(ET16:ET20)</f>
        <v>945952.35</v>
      </c>
      <c r="EU21" s="276">
        <f>SUM(EU16:EU20)</f>
        <v>0</v>
      </c>
      <c r="EV21" s="276">
        <f>SUM(EV16:EV20)</f>
        <v>0</v>
      </c>
      <c r="EW21" s="276"/>
      <c r="EX21" s="276">
        <f>SUM(EX16:EX20)</f>
        <v>986621.5</v>
      </c>
      <c r="EY21" s="416"/>
      <c r="EZ21" s="276">
        <f>SUM(EZ16:EZ20)</f>
        <v>151608.24</v>
      </c>
      <c r="FA21" s="276">
        <f>SUM(FA16:FA20)</f>
        <v>5930520.5099999998</v>
      </c>
      <c r="FB21" s="276">
        <f>SUM(FB16:FB20)</f>
        <v>0</v>
      </c>
      <c r="FC21" s="276">
        <f>SUM(FC16:FC20)</f>
        <v>0</v>
      </c>
      <c r="FD21" s="276"/>
      <c r="FE21" s="276">
        <f>SUM(FE16:FE20)</f>
        <v>6011807.5</v>
      </c>
      <c r="FF21" s="416"/>
      <c r="FG21" s="276">
        <f>SUM(FG16:FG20)</f>
        <v>122353.09</v>
      </c>
      <c r="FH21" s="276">
        <f>SUM(FH16:FH20)</f>
        <v>5312411.29</v>
      </c>
      <c r="FI21" s="276">
        <f>SUM(FI16:FI20)</f>
        <v>0</v>
      </c>
      <c r="FJ21" s="276">
        <f>SUM(FJ16:FJ20)</f>
        <v>0</v>
      </c>
      <c r="FK21" s="276"/>
      <c r="FL21" s="276">
        <f>SUM(FL16:FL20)</f>
        <v>5427945.8799999999</v>
      </c>
      <c r="FM21" s="416"/>
      <c r="FN21" s="276">
        <f>SUM(FN16:FN20)</f>
        <v>72815.399999999994</v>
      </c>
      <c r="FO21" s="276">
        <f>SUM(FO16:FO20)</f>
        <v>4010379.39</v>
      </c>
      <c r="FP21" s="276">
        <f>SUM(FP16:FP20)</f>
        <v>0</v>
      </c>
      <c r="FQ21" s="276">
        <f>SUM(FQ16:FQ20)</f>
        <v>0</v>
      </c>
      <c r="FR21" s="276"/>
      <c r="FS21" s="276">
        <f>SUM(FS16:FS20)</f>
        <v>4083194.79</v>
      </c>
      <c r="FT21" s="416"/>
      <c r="FU21" s="276">
        <f>SUM(FU16:FU20)</f>
        <v>10645.2</v>
      </c>
      <c r="FV21" s="276">
        <f>SUM(FV16:FV20)</f>
        <v>1835983.6</v>
      </c>
      <c r="FW21" s="276">
        <f>SUM(FW16:FW20)</f>
        <v>0</v>
      </c>
      <c r="FX21" s="276">
        <f>SUM(FX16:FX20)</f>
        <v>0</v>
      </c>
      <c r="FY21" s="276"/>
      <c r="FZ21" s="276">
        <f>SUM(FZ16:FZ20)</f>
        <v>1846628.8</v>
      </c>
      <c r="GA21" s="30"/>
      <c r="GB21" s="276">
        <f>SUM(GB16:GB20)</f>
        <v>201935.75</v>
      </c>
      <c r="GC21" s="276">
        <f>SUM(GC16:GC20)</f>
        <v>5657548.5</v>
      </c>
      <c r="GD21" s="276">
        <f>SUM(GD16:GD20)</f>
        <v>0</v>
      </c>
      <c r="GE21" s="276">
        <f>SUM(GE16:GE20)</f>
        <v>0</v>
      </c>
      <c r="GF21" s="276"/>
      <c r="GG21" s="276">
        <f>SUM(GG16:GG20)</f>
        <v>5859484.25</v>
      </c>
      <c r="GH21" s="30"/>
      <c r="GI21" s="276">
        <f>SUM(GI16:GI20)</f>
        <v>156994.40999999989</v>
      </c>
      <c r="GJ21" s="276">
        <f>SUM(GJ16:GJ20)</f>
        <v>4354430.5</v>
      </c>
      <c r="GK21" s="276">
        <f>SUM(GK16:GK20)</f>
        <v>0</v>
      </c>
      <c r="GL21" s="276">
        <f>SUM(GL16:GL20)</f>
        <v>0</v>
      </c>
      <c r="GM21" s="276"/>
      <c r="GN21" s="276">
        <f>SUM(GN16:GN20)</f>
        <v>4511424.91</v>
      </c>
      <c r="GO21" s="30"/>
      <c r="GP21" s="276">
        <f>SUM(GP16:GP20)</f>
        <v>151423.15999999995</v>
      </c>
      <c r="GQ21" s="276">
        <f>SUM(GQ16:GQ20)</f>
        <v>2986606</v>
      </c>
      <c r="GR21" s="276">
        <f>SUM(GR16:GR20)</f>
        <v>0</v>
      </c>
      <c r="GS21" s="276">
        <f>SUM(GS16:GS20)</f>
        <v>0</v>
      </c>
      <c r="GT21" s="276"/>
      <c r="GU21" s="276">
        <f>SUM(GU16:GU20)</f>
        <v>3138029.16</v>
      </c>
      <c r="GV21" s="30"/>
      <c r="GW21" s="276">
        <f>SUM(GW16:GW20)</f>
        <v>4247.82</v>
      </c>
      <c r="GX21" s="276">
        <f>SUM(GX16:GX20)</f>
        <v>1541630</v>
      </c>
      <c r="GY21" s="276">
        <f>SUM(GY16:GY20)</f>
        <v>0</v>
      </c>
      <c r="GZ21" s="276">
        <f>SUM(GZ16:GZ20)</f>
        <v>0</v>
      </c>
      <c r="HA21" s="276"/>
      <c r="HB21" s="276">
        <f>SUM(HB16:HB20)</f>
        <v>1545877.82</v>
      </c>
      <c r="HC21" s="30"/>
    </row>
    <row r="22" spans="1:211" ht="12.75" customHeight="1" thickBot="1">
      <c r="A22" s="30" t="s">
        <v>502</v>
      </c>
      <c r="B22" s="277">
        <f>B14+B21</f>
        <v>77327998.25999999</v>
      </c>
      <c r="C22" s="277">
        <f>C14+C21</f>
        <v>34965864.089999989</v>
      </c>
      <c r="D22" s="277">
        <f>+D11+D21</f>
        <v>0</v>
      </c>
      <c r="E22" s="277">
        <f>+E11+E21</f>
        <v>0</v>
      </c>
      <c r="F22" s="277">
        <f>F14+F21</f>
        <v>-34707362.07</v>
      </c>
      <c r="G22" s="277">
        <f>+G14+G21</f>
        <v>77586500.279999971</v>
      </c>
      <c r="H22" s="30"/>
      <c r="I22" s="277">
        <v>181626283.57999986</v>
      </c>
      <c r="J22" s="277">
        <v>117165816.34999999</v>
      </c>
      <c r="K22" s="277">
        <v>0</v>
      </c>
      <c r="L22" s="277">
        <v>0</v>
      </c>
      <c r="M22" s="277"/>
      <c r="N22" s="277">
        <f>+N14+N21</f>
        <v>296666705.83999991</v>
      </c>
      <c r="O22" s="30"/>
      <c r="P22" s="277">
        <v>134358526.91999999</v>
      </c>
      <c r="Q22" s="277">
        <v>82240450.799999982</v>
      </c>
      <c r="R22" s="277">
        <v>0</v>
      </c>
      <c r="S22" s="277">
        <v>0</v>
      </c>
      <c r="T22" s="277"/>
      <c r="U22" s="277">
        <f>+U14+U21</f>
        <v>214964043.79999998</v>
      </c>
      <c r="V22" s="30"/>
      <c r="W22" s="277">
        <v>90172850.399999991</v>
      </c>
      <c r="X22" s="277">
        <v>55958992.780000001</v>
      </c>
      <c r="Y22" s="277">
        <v>0</v>
      </c>
      <c r="Z22" s="277">
        <v>0</v>
      </c>
      <c r="AA22" s="277"/>
      <c r="AB22" s="277">
        <f>+AB14+AB21</f>
        <v>145016645.30000001</v>
      </c>
      <c r="AC22" s="312"/>
      <c r="AD22" s="277">
        <f>+AD11+AD21</f>
        <v>72057410.090000004</v>
      </c>
      <c r="AE22" s="277">
        <f>+AE11+AE21</f>
        <v>28771519.440000001</v>
      </c>
      <c r="AF22" s="277">
        <f>+AF11+AF21</f>
        <v>0</v>
      </c>
      <c r="AG22" s="277">
        <f>+AG11+AG21</f>
        <v>0</v>
      </c>
      <c r="AH22" s="277"/>
      <c r="AI22" s="277">
        <f>+AI14+AI21</f>
        <v>74194366.580000013</v>
      </c>
      <c r="AJ22" s="312"/>
      <c r="AK22" s="277">
        <f>+AK11+AK21</f>
        <v>243615933.38000003</v>
      </c>
      <c r="AL22" s="277">
        <f>+AL11+AL21</f>
        <v>93681567.049999997</v>
      </c>
      <c r="AM22" s="277">
        <f>+AM11+AM21</f>
        <v>0</v>
      </c>
      <c r="AN22" s="277">
        <f>+AN11+AN21</f>
        <v>0</v>
      </c>
      <c r="AO22" s="277"/>
      <c r="AP22" s="277">
        <f>+AP14+AP21</f>
        <v>254011028.14000005</v>
      </c>
      <c r="AQ22" s="312"/>
      <c r="AR22" s="277">
        <f>+AR11+AR21</f>
        <v>171423287.18000001</v>
      </c>
      <c r="AS22" s="277">
        <f>+AS11+AS21</f>
        <v>65486604.979999997</v>
      </c>
      <c r="AT22" s="277">
        <f>+AT11+AT21</f>
        <v>0</v>
      </c>
      <c r="AU22" s="277">
        <f>+AU11+AU21</f>
        <v>0</v>
      </c>
      <c r="AV22" s="277"/>
      <c r="AW22" s="277">
        <f>+AW14+AW21</f>
        <v>179149648.36999997</v>
      </c>
      <c r="AX22" s="312"/>
      <c r="AY22" s="277">
        <f>+AY11+AY21</f>
        <v>105207528.28999999</v>
      </c>
      <c r="AZ22" s="277">
        <f>+AZ11+AZ21</f>
        <v>43269542.140000001</v>
      </c>
      <c r="BA22" s="277">
        <f>+BA11+BA21</f>
        <v>0</v>
      </c>
      <c r="BB22" s="277">
        <f>+BB11+BB21</f>
        <v>0</v>
      </c>
      <c r="BC22" s="277"/>
      <c r="BD22" s="277">
        <f>+BD14+BD21</f>
        <v>112758164.89999999</v>
      </c>
      <c r="BE22" s="312"/>
      <c r="BF22" s="277">
        <f>+BF11+BF21</f>
        <v>48457950.240000002</v>
      </c>
      <c r="BG22" s="277">
        <f>+BG11+BG21</f>
        <v>23650157.43</v>
      </c>
      <c r="BH22" s="277">
        <f>+BH11+BH21</f>
        <v>0</v>
      </c>
      <c r="BI22" s="277">
        <f>+BI11+BI21</f>
        <v>0</v>
      </c>
      <c r="BJ22" s="277"/>
      <c r="BK22" s="277">
        <f>+BK14+BK21</f>
        <v>52047789.509999998</v>
      </c>
      <c r="BL22" s="312"/>
      <c r="BM22" s="277">
        <f>+BM11+BM21</f>
        <v>288052811.70999998</v>
      </c>
      <c r="BN22" s="277">
        <f>+BN11+BN21</f>
        <v>118844019.58</v>
      </c>
      <c r="BO22" s="277">
        <f>+BO11+BO21</f>
        <v>0</v>
      </c>
      <c r="BP22" s="277">
        <f>+BP11+BP21</f>
        <v>0</v>
      </c>
      <c r="BQ22" s="277"/>
      <c r="BR22" s="277">
        <f>+BR14+BR21</f>
        <v>302916307.31999999</v>
      </c>
      <c r="BS22" s="312"/>
      <c r="BT22" s="277">
        <f>+BT11+BT21</f>
        <v>250919935.52000001</v>
      </c>
      <c r="BU22" s="277">
        <f>+BU11+BU21</f>
        <v>98666824.570000008</v>
      </c>
      <c r="BV22" s="277">
        <f>+BV11+BV21</f>
        <v>0</v>
      </c>
      <c r="BW22" s="277">
        <f>+BW11+BW21</f>
        <v>0</v>
      </c>
      <c r="BX22" s="277"/>
      <c r="BY22" s="277">
        <f>+BY14+BY21</f>
        <v>348171897.54000002</v>
      </c>
      <c r="BZ22" s="312"/>
      <c r="CA22" s="277">
        <f>+CA11+CA21</f>
        <v>187256495.44</v>
      </c>
      <c r="CB22" s="277">
        <f>+CB11+CB21</f>
        <v>69066344.600000009</v>
      </c>
      <c r="CC22" s="277">
        <f>+CC11+CC21</f>
        <v>0</v>
      </c>
      <c r="CD22" s="277">
        <f>+CD11+CD21</f>
        <v>0</v>
      </c>
      <c r="CE22" s="277"/>
      <c r="CF22" s="277">
        <f>+CF14+CF21</f>
        <v>255288080.60999998</v>
      </c>
      <c r="CG22" s="312"/>
      <c r="CH22" s="277">
        <f>+CH11+CH21</f>
        <v>96220765.300000012</v>
      </c>
      <c r="CI22" s="277">
        <f>+CI11+CI21</f>
        <v>38880855.890000001</v>
      </c>
      <c r="CJ22" s="277">
        <f>+CJ11+CJ21</f>
        <v>0</v>
      </c>
      <c r="CK22" s="277">
        <f>+CK11+CK21</f>
        <v>0</v>
      </c>
      <c r="CL22" s="277"/>
      <c r="CM22" s="277">
        <f>+CM14+CM21</f>
        <v>134531526.61000001</v>
      </c>
      <c r="CN22" s="312"/>
      <c r="CO22" s="277">
        <f>+CO11+CO21</f>
        <v>94046017.159999996</v>
      </c>
      <c r="CP22" s="277">
        <f>+CP11+CP21</f>
        <v>39246370.670000002</v>
      </c>
      <c r="CQ22" s="277">
        <f>+CQ11+CQ21</f>
        <v>0</v>
      </c>
      <c r="CR22" s="277">
        <f>+CR11+CR21</f>
        <v>0</v>
      </c>
      <c r="CS22" s="277"/>
      <c r="CT22" s="277">
        <f>+CT14+CT21</f>
        <v>132435912.01000001</v>
      </c>
      <c r="CU22" s="312"/>
      <c r="CV22" s="277">
        <f>+CV11+CV21</f>
        <v>381009020.51999998</v>
      </c>
      <c r="CW22" s="277">
        <f>+CW11+CW21</f>
        <v>133440669.21000001</v>
      </c>
      <c r="CX22" s="277">
        <f>+CX11+CX21</f>
        <v>0</v>
      </c>
      <c r="CY22" s="277">
        <f>+CY11+CY21</f>
        <v>0</v>
      </c>
      <c r="CZ22" s="277"/>
      <c r="DA22" s="277">
        <f>+DA14+DA21</f>
        <v>511694624.48000002</v>
      </c>
      <c r="DB22" s="312"/>
      <c r="DC22" s="277">
        <f>+DC11+DC21</f>
        <v>293767231.06</v>
      </c>
      <c r="DD22" s="277">
        <f>+DD11+DD21</f>
        <v>106009732.87</v>
      </c>
      <c r="DE22" s="277">
        <f>+DE11+DE21</f>
        <v>0</v>
      </c>
      <c r="DF22" s="277">
        <f>+DF11+DF21</f>
        <v>0</v>
      </c>
      <c r="DG22" s="277"/>
      <c r="DH22" s="277">
        <f>+DH14+DH21</f>
        <v>397952642.04000002</v>
      </c>
      <c r="DI22" s="312"/>
      <c r="DJ22" s="277">
        <f>+DJ11+DJ21</f>
        <v>198651614.33999997</v>
      </c>
      <c r="DK22" s="277">
        <f>+DK11+DK21</f>
        <v>75591546.659999996</v>
      </c>
      <c r="DL22" s="277">
        <f>+DL11+DL21</f>
        <v>0</v>
      </c>
      <c r="DM22" s="277">
        <f>+DM11+DM21</f>
        <v>0</v>
      </c>
      <c r="DN22" s="277"/>
      <c r="DO22" s="277">
        <f>+DO14+DO21</f>
        <v>272934535.04000002</v>
      </c>
      <c r="DP22" s="312"/>
      <c r="DQ22" s="277">
        <f>+DQ11+DQ21</f>
        <v>95626709.969999999</v>
      </c>
      <c r="DR22" s="277">
        <f>+DR11+DR21</f>
        <v>35300456.950000003</v>
      </c>
      <c r="DS22" s="277">
        <f>+DS11+DS21</f>
        <v>0</v>
      </c>
      <c r="DT22" s="277">
        <f>+DT11+DT21</f>
        <v>0</v>
      </c>
      <c r="DU22" s="277"/>
      <c r="DV22" s="277">
        <f>+DV14+DV21</f>
        <v>130288018.12</v>
      </c>
      <c r="DW22" s="312"/>
      <c r="DX22" s="277">
        <f>+DX11+DX21</f>
        <v>352987256.36000001</v>
      </c>
      <c r="DY22" s="277">
        <f>+DY11+DY21</f>
        <v>141585791.06</v>
      </c>
      <c r="DZ22" s="277">
        <f>+DZ11+DZ21</f>
        <v>0</v>
      </c>
      <c r="EA22" s="277">
        <f>+EA11+EA21</f>
        <v>0</v>
      </c>
      <c r="EB22" s="277"/>
      <c r="EC22" s="277">
        <f>+EC14+EC21</f>
        <v>492579202.98000002</v>
      </c>
      <c r="ED22" s="312"/>
      <c r="EE22" s="277">
        <f>+EE11+EE21</f>
        <v>270004567.15999997</v>
      </c>
      <c r="EF22" s="277">
        <f>+EF11+EF21</f>
        <v>112376934.99000001</v>
      </c>
      <c r="EG22" s="277">
        <f>+EG11+EG21</f>
        <v>0</v>
      </c>
      <c r="EH22" s="277">
        <f>+EH11+EH21</f>
        <v>0</v>
      </c>
      <c r="EI22" s="277"/>
      <c r="EJ22" s="277">
        <f>+EJ14+EJ21</f>
        <v>380738041.69000006</v>
      </c>
      <c r="EK22" s="312"/>
      <c r="EL22" s="277">
        <f>+EL11+EL21</f>
        <v>184847114.24000001</v>
      </c>
      <c r="EM22" s="277">
        <f>+EM11+EM21</f>
        <v>85990969.840000004</v>
      </c>
      <c r="EN22" s="277">
        <f>+EN11+EN21</f>
        <v>0</v>
      </c>
      <c r="EO22" s="277">
        <f>+EO11+EO21</f>
        <v>0</v>
      </c>
      <c r="EP22" s="277"/>
      <c r="EQ22" s="277">
        <f>+EQ14+EQ21</f>
        <v>269649258.11000001</v>
      </c>
      <c r="ER22" s="312"/>
      <c r="ES22" s="277">
        <f>+ES11+ES21</f>
        <v>83693467.170000002</v>
      </c>
      <c r="ET22" s="277">
        <f>+ET11+ET21</f>
        <v>39546751.990000002</v>
      </c>
      <c r="EU22" s="277">
        <f>+EU11+EU21</f>
        <v>0</v>
      </c>
      <c r="EV22" s="277">
        <f>+EV11+EV21</f>
        <v>0</v>
      </c>
      <c r="EW22" s="277"/>
      <c r="EX22" s="277">
        <f>+EX14+EX21</f>
        <v>122676652.81</v>
      </c>
      <c r="EY22" s="312"/>
      <c r="EZ22" s="277">
        <f>+EZ11+EZ21</f>
        <v>292831603.06</v>
      </c>
      <c r="FA22" s="277">
        <f>+FA11+FA21</f>
        <v>124512013.44000001</v>
      </c>
      <c r="FB22" s="277">
        <f>+FB11+FB21</f>
        <v>0</v>
      </c>
      <c r="FC22" s="277">
        <f>+FC11+FC21</f>
        <v>0</v>
      </c>
      <c r="FD22" s="277"/>
      <c r="FE22" s="277">
        <f>+FE14+FE21</f>
        <v>415137961.14999998</v>
      </c>
      <c r="FF22" s="312"/>
      <c r="FG22" s="277">
        <f>+FG11+FG21</f>
        <v>224072593.13</v>
      </c>
      <c r="FH22" s="277">
        <f>+FH11+FH21</f>
        <v>98693969.080000013</v>
      </c>
      <c r="FI22" s="277">
        <f>+FI11+FI21</f>
        <v>0</v>
      </c>
      <c r="FJ22" s="277">
        <f>+FJ11+FJ21</f>
        <v>0</v>
      </c>
      <c r="FK22" s="277"/>
      <c r="FL22" s="277">
        <f>+FL14+FL21</f>
        <v>321073368.81</v>
      </c>
      <c r="FM22" s="312"/>
      <c r="FN22" s="277">
        <f>+FN11+FN21</f>
        <v>152847009.46000001</v>
      </c>
      <c r="FO22" s="277">
        <f>+FO11+FO21</f>
        <v>75210020.209999993</v>
      </c>
      <c r="FP22" s="277">
        <f>+FP11+FP21</f>
        <v>0</v>
      </c>
      <c r="FQ22" s="277">
        <f>+FQ11+FQ21</f>
        <v>0</v>
      </c>
      <c r="FR22" s="277"/>
      <c r="FS22" s="277">
        <f>+FS14+FS21</f>
        <v>226805404.80999997</v>
      </c>
      <c r="FT22" s="312"/>
      <c r="FU22" s="277">
        <f>+FU11+FU21</f>
        <v>74420142.530000001</v>
      </c>
      <c r="FV22" s="277">
        <f>+FV11+FV21</f>
        <v>35862311.219999999</v>
      </c>
      <c r="FW22" s="277">
        <f>+FW11+FW21</f>
        <v>0</v>
      </c>
      <c r="FX22" s="277">
        <f>+FX11+FX21</f>
        <v>0</v>
      </c>
      <c r="FY22" s="277"/>
      <c r="FZ22" s="277">
        <f>+FZ14+FZ21</f>
        <v>109625329.59999998</v>
      </c>
      <c r="GA22" s="30"/>
      <c r="GB22" s="277">
        <f>+GB11+GB21</f>
        <v>259215226.34999999</v>
      </c>
      <c r="GC22" s="277">
        <f>+GC11+GC21</f>
        <v>106731486.63</v>
      </c>
      <c r="GD22" s="277">
        <f>+GD11+GD21</f>
        <v>0</v>
      </c>
      <c r="GE22" s="277">
        <f>+GE11+GE21</f>
        <v>0</v>
      </c>
      <c r="GF22" s="277"/>
      <c r="GG22" s="277">
        <f>+GG14+GG21</f>
        <v>363618232.20000005</v>
      </c>
      <c r="GH22" s="30"/>
      <c r="GI22" s="277">
        <f>+GI11+GI21</f>
        <v>194918242.84999999</v>
      </c>
      <c r="GJ22" s="277">
        <f>+GJ11+GJ21</f>
        <v>82063110.140000001</v>
      </c>
      <c r="GK22" s="277">
        <f>+GK11+GK21</f>
        <v>0</v>
      </c>
      <c r="GL22" s="277">
        <f>+GL11+GL21</f>
        <v>0</v>
      </c>
      <c r="GM22" s="277"/>
      <c r="GN22" s="277">
        <f>+GN14+GN21</f>
        <v>275213078.72000003</v>
      </c>
      <c r="GO22" s="30"/>
      <c r="GP22" s="277">
        <f>+GP11+GP21</f>
        <v>130371830.97999999</v>
      </c>
      <c r="GQ22" s="277">
        <f>+GQ11+GQ21</f>
        <v>59214950.119999997</v>
      </c>
      <c r="GR22" s="277">
        <f>+GR11+GR21</f>
        <v>0</v>
      </c>
      <c r="GS22" s="277">
        <f>+GS11+GS21</f>
        <v>0</v>
      </c>
      <c r="GT22" s="277"/>
      <c r="GU22" s="277">
        <f>+GU14+GU21</f>
        <v>188386059.13</v>
      </c>
      <c r="GV22" s="30"/>
      <c r="GW22" s="277">
        <f>+GW11+GW21</f>
        <v>63827380.439999998</v>
      </c>
      <c r="GX22" s="277">
        <f>+GX11+GX21</f>
        <v>28564725.370000001</v>
      </c>
      <c r="GY22" s="277">
        <f>+GY11+GY21</f>
        <v>0</v>
      </c>
      <c r="GZ22" s="277">
        <f>+GZ11+GZ21</f>
        <v>0</v>
      </c>
      <c r="HA22" s="277"/>
      <c r="HB22" s="277">
        <f>+HB14+HB21</f>
        <v>91771552.109999985</v>
      </c>
      <c r="HC22" s="30"/>
    </row>
    <row r="23" spans="1:211" ht="12.75" customHeight="1" thickTop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</row>
    <row r="24" spans="1:211" ht="12.75" customHeight="1">
      <c r="A24" t="s">
        <v>503</v>
      </c>
      <c r="B24" s="82">
        <f>+B34</f>
        <v>111328.47</v>
      </c>
      <c r="C24" s="82">
        <f>+C34</f>
        <v>127140.36</v>
      </c>
      <c r="D24" s="82">
        <f>+D34</f>
        <v>0</v>
      </c>
      <c r="E24" s="82">
        <f>+E34</f>
        <v>0</v>
      </c>
      <c r="F24" s="82"/>
      <c r="G24" s="82">
        <f>SUM(B24:F24)</f>
        <v>238468.83000000002</v>
      </c>
      <c r="I24" s="82">
        <v>478763</v>
      </c>
      <c r="J24" s="82">
        <v>425955.33</v>
      </c>
      <c r="K24" s="82">
        <v>0</v>
      </c>
      <c r="L24" s="82">
        <v>0</v>
      </c>
      <c r="M24" s="82"/>
      <c r="N24" s="82">
        <f>SUM(I24:M24)</f>
        <v>904718.33000000007</v>
      </c>
      <c r="P24" s="82">
        <v>382190.51</v>
      </c>
      <c r="Q24" s="82">
        <v>314297.06</v>
      </c>
      <c r="R24" s="82">
        <v>0</v>
      </c>
      <c r="S24" s="82">
        <v>0</v>
      </c>
      <c r="T24" s="82"/>
      <c r="U24" s="82">
        <f>SUM(P24:T24)</f>
        <v>696487.57000000007</v>
      </c>
      <c r="W24" s="82">
        <v>267960.55</v>
      </c>
      <c r="X24" s="82">
        <v>202029.69</v>
      </c>
      <c r="Y24" s="82">
        <v>0</v>
      </c>
      <c r="Z24" s="82">
        <v>0</v>
      </c>
      <c r="AA24" s="82"/>
      <c r="AB24" s="82">
        <f>SUM(W24:AA24)</f>
        <v>469990.24</v>
      </c>
      <c r="AD24" s="82">
        <f>+AD34</f>
        <v>123365.20000000001</v>
      </c>
      <c r="AE24" s="82">
        <f>+AE34</f>
        <v>91706.3</v>
      </c>
      <c r="AF24" s="82">
        <f>+AF34</f>
        <v>0</v>
      </c>
      <c r="AG24" s="82">
        <f>+AG34</f>
        <v>0</v>
      </c>
      <c r="AH24" s="82"/>
      <c r="AI24" s="82">
        <f>SUM(AD24:AH24)</f>
        <v>215071.5</v>
      </c>
      <c r="AK24" s="82">
        <f>+AK34</f>
        <v>531777.78</v>
      </c>
      <c r="AL24" s="82">
        <f>+AL34</f>
        <v>282346.65999999997</v>
      </c>
      <c r="AM24" s="82">
        <f>+AM34</f>
        <v>0</v>
      </c>
      <c r="AN24" s="82">
        <f>+AN34</f>
        <v>0</v>
      </c>
      <c r="AO24" s="82"/>
      <c r="AP24" s="82">
        <f>SUM(AK24:AO24)</f>
        <v>814124.44</v>
      </c>
      <c r="AR24" s="82">
        <f>+AR34</f>
        <v>430377.29000000004</v>
      </c>
      <c r="AS24" s="82">
        <f>+AS34</f>
        <v>204108.94</v>
      </c>
      <c r="AT24" s="82">
        <f>+AT34</f>
        <v>0</v>
      </c>
      <c r="AU24" s="82">
        <f>+AU34</f>
        <v>0</v>
      </c>
      <c r="AV24" s="82"/>
      <c r="AW24" s="82">
        <f>SUM(AR24:AV24)</f>
        <v>634486.23</v>
      </c>
      <c r="AY24" s="82">
        <f>+AY34</f>
        <v>339897.98</v>
      </c>
      <c r="AZ24" s="82">
        <f>+AZ34</f>
        <v>122439.56</v>
      </c>
      <c r="BA24" s="82">
        <f>+BA34</f>
        <v>0</v>
      </c>
      <c r="BB24" s="82">
        <f>+BB34</f>
        <v>0</v>
      </c>
      <c r="BC24" s="82"/>
      <c r="BD24" s="82">
        <f>SUM(AY24:BC24)</f>
        <v>462337.54</v>
      </c>
      <c r="BF24" s="82">
        <f>+BF34</f>
        <v>202088.08000000002</v>
      </c>
      <c r="BG24" s="82">
        <f>+BG34</f>
        <v>48113.8</v>
      </c>
      <c r="BH24" s="82">
        <f>+BH34</f>
        <v>0</v>
      </c>
      <c r="BI24" s="82">
        <f>+BI34</f>
        <v>0</v>
      </c>
      <c r="BJ24" s="82"/>
      <c r="BK24" s="82">
        <f>SUM(BF24:BJ24)</f>
        <v>250201.88</v>
      </c>
      <c r="BM24" s="82">
        <f>+BM34</f>
        <v>914441.99</v>
      </c>
      <c r="BN24" s="82">
        <f>+BN34</f>
        <v>321801.96999999997</v>
      </c>
      <c r="BO24" s="82">
        <f>+BO34</f>
        <v>0</v>
      </c>
      <c r="BP24" s="82">
        <f>+BP34</f>
        <v>0</v>
      </c>
      <c r="BQ24" s="82"/>
      <c r="BR24" s="82">
        <f>SUM(BM24:BQ24)</f>
        <v>1236243.96</v>
      </c>
      <c r="BT24" s="82">
        <f>+BT34</f>
        <v>643509.28</v>
      </c>
      <c r="BU24" s="82">
        <f>+BU34</f>
        <v>270962.8</v>
      </c>
      <c r="BV24" s="82">
        <f>+BV34</f>
        <v>0</v>
      </c>
      <c r="BW24" s="82">
        <f>+BW34</f>
        <v>0</v>
      </c>
      <c r="BX24" s="82"/>
      <c r="BY24" s="82">
        <f>SUM(BT24:BX24)</f>
        <v>914472.08000000007</v>
      </c>
      <c r="CA24" s="82">
        <f>+CA34</f>
        <v>435317.29</v>
      </c>
      <c r="CB24" s="82">
        <f>+CB34</f>
        <v>182154.29</v>
      </c>
      <c r="CC24" s="82">
        <f>+CC34</f>
        <v>0</v>
      </c>
      <c r="CD24" s="82">
        <f>+CD34</f>
        <v>0</v>
      </c>
      <c r="CE24" s="82"/>
      <c r="CF24" s="82">
        <f>SUM(CA24:CE24)</f>
        <v>617471.57999999996</v>
      </c>
      <c r="CH24" s="82">
        <f>+CH34</f>
        <v>239013.69</v>
      </c>
      <c r="CI24" s="82">
        <f>+CI34</f>
        <v>85199.01</v>
      </c>
      <c r="CJ24" s="82">
        <f>+CJ34</f>
        <v>0</v>
      </c>
      <c r="CK24" s="82">
        <f>+CK34</f>
        <v>0</v>
      </c>
      <c r="CL24" s="82"/>
      <c r="CM24" s="82">
        <f>SUM(CH24:CL24)</f>
        <v>324212.7</v>
      </c>
      <c r="CO24" s="82">
        <f>+CO34</f>
        <v>317787.3</v>
      </c>
      <c r="CP24" s="82">
        <f>+CP34</f>
        <v>91583.61</v>
      </c>
      <c r="CQ24" s="82">
        <f>+CQ34</f>
        <v>0</v>
      </c>
      <c r="CR24" s="82">
        <f>+CR34</f>
        <v>0</v>
      </c>
      <c r="CS24" s="82"/>
      <c r="CT24" s="82">
        <f>SUM(CO24:CS24)</f>
        <v>409370.91</v>
      </c>
      <c r="CV24" s="82">
        <f>+CV34</f>
        <v>699218.28</v>
      </c>
      <c r="CW24" s="82">
        <f>+CW34</f>
        <v>255775.81</v>
      </c>
      <c r="CX24" s="82">
        <f>+CX34</f>
        <v>0</v>
      </c>
      <c r="CY24" s="82">
        <f>+CY34</f>
        <v>0</v>
      </c>
      <c r="CZ24" s="82"/>
      <c r="DA24" s="82">
        <f>SUM(CV24:CZ24)</f>
        <v>954994.09000000008</v>
      </c>
      <c r="DC24" s="82">
        <f>+DC34</f>
        <v>396424.43</v>
      </c>
      <c r="DD24" s="82">
        <f>+DD34</f>
        <v>166190.91</v>
      </c>
      <c r="DE24" s="82">
        <f>+DE34</f>
        <v>0</v>
      </c>
      <c r="DF24" s="82">
        <f>+DF34</f>
        <v>0</v>
      </c>
      <c r="DG24" s="82"/>
      <c r="DH24" s="82">
        <f>SUM(DC24:DG24)</f>
        <v>562615.34</v>
      </c>
      <c r="DJ24" s="82">
        <f>+DJ34</f>
        <v>204176.18</v>
      </c>
      <c r="DK24" s="82">
        <f>+DK34</f>
        <v>95712.61</v>
      </c>
      <c r="DL24" s="82">
        <f>+DL34</f>
        <v>0</v>
      </c>
      <c r="DM24" s="82">
        <f>+DM34</f>
        <v>0</v>
      </c>
      <c r="DN24" s="82"/>
      <c r="DO24" s="82">
        <f>SUM(DJ24:DN24)</f>
        <v>299888.78999999998</v>
      </c>
      <c r="DQ24" s="82">
        <f>+DQ34</f>
        <v>78077.31</v>
      </c>
      <c r="DR24" s="82">
        <f>+DR34</f>
        <v>51941.98</v>
      </c>
      <c r="DS24" s="82">
        <f>+DS34</f>
        <v>0</v>
      </c>
      <c r="DT24" s="82">
        <f>+DT34</f>
        <v>0</v>
      </c>
      <c r="DU24" s="82"/>
      <c r="DV24" s="82">
        <f>SUM(DQ24:DU24)</f>
        <v>130019.29000000001</v>
      </c>
      <c r="DX24" s="82">
        <f>+DX34</f>
        <v>451180.55</v>
      </c>
      <c r="DY24" s="82">
        <f>+DY34</f>
        <v>299593.71999999997</v>
      </c>
      <c r="DZ24" s="82">
        <f>+DZ34</f>
        <v>0</v>
      </c>
      <c r="EA24" s="82">
        <f>+EA34</f>
        <v>0</v>
      </c>
      <c r="EB24" s="82"/>
      <c r="EC24" s="82">
        <f>SUM(DX24:EB24)</f>
        <v>750774.27</v>
      </c>
      <c r="EE24" s="82">
        <f>+EE34</f>
        <v>344710.63</v>
      </c>
      <c r="EF24" s="82">
        <f>+EF34</f>
        <v>169868.13</v>
      </c>
      <c r="EG24" s="82">
        <f>+EG34</f>
        <v>0</v>
      </c>
      <c r="EH24" s="82">
        <f>+EH34</f>
        <v>0</v>
      </c>
      <c r="EI24" s="82"/>
      <c r="EJ24" s="82">
        <f>SUM(EE24:EI24)</f>
        <v>514578.76</v>
      </c>
      <c r="EL24" s="82">
        <f>+EL34</f>
        <v>256368.91</v>
      </c>
      <c r="EM24" s="82">
        <f>+EM34</f>
        <v>99185.47</v>
      </c>
      <c r="EN24" s="82">
        <f>+EN34</f>
        <v>0</v>
      </c>
      <c r="EO24" s="82">
        <f>+EO34</f>
        <v>0</v>
      </c>
      <c r="EP24" s="82"/>
      <c r="EQ24" s="82">
        <f>SUM(EL24:EP24)</f>
        <v>355554.38</v>
      </c>
      <c r="ES24" s="82">
        <f>+ES34</f>
        <v>166841.73000000001</v>
      </c>
      <c r="ET24" s="82">
        <f>+ET34</f>
        <v>62549.35</v>
      </c>
      <c r="EU24" s="82">
        <f>+EU34</f>
        <v>0</v>
      </c>
      <c r="EV24" s="82">
        <f>+EV34</f>
        <v>0</v>
      </c>
      <c r="EW24" s="82"/>
      <c r="EX24" s="82">
        <f>SUM(ES24:EW24)</f>
        <v>229391.08000000002</v>
      </c>
      <c r="EZ24" s="82">
        <f>+EZ34</f>
        <v>1409812.42</v>
      </c>
      <c r="FA24" s="82">
        <f>+FA34</f>
        <v>248226.28</v>
      </c>
      <c r="FB24" s="82">
        <f>+FB34</f>
        <v>0</v>
      </c>
      <c r="FC24" s="82">
        <f>+FC34</f>
        <v>0</v>
      </c>
      <c r="FD24" s="82"/>
      <c r="FE24" s="82">
        <f>SUM(EZ24:FD24)</f>
        <v>1658038.7</v>
      </c>
      <c r="FG24" s="82">
        <f>+FG34</f>
        <v>973244.39</v>
      </c>
      <c r="FH24" s="82">
        <f>+FH34</f>
        <v>164777.57999999999</v>
      </c>
      <c r="FI24" s="82">
        <f>+FI34</f>
        <v>0</v>
      </c>
      <c r="FJ24" s="82">
        <f>+FJ34</f>
        <v>0</v>
      </c>
      <c r="FK24" s="82"/>
      <c r="FL24" s="82">
        <f>SUM(FG24:FK24)</f>
        <v>1138021.97</v>
      </c>
      <c r="FN24" s="82">
        <f>+FN34</f>
        <v>577807.97</v>
      </c>
      <c r="FO24" s="82">
        <f>+FO34</f>
        <v>89376.33</v>
      </c>
      <c r="FP24" s="82">
        <f>+FP34</f>
        <v>0</v>
      </c>
      <c r="FQ24" s="82">
        <f>+FQ34</f>
        <v>0</v>
      </c>
      <c r="FR24" s="82"/>
      <c r="FS24" s="253">
        <f>SUM(FN24:FQ24)</f>
        <v>667184.29999999993</v>
      </c>
      <c r="FU24" s="82">
        <f>+FU34</f>
        <v>178492.41</v>
      </c>
      <c r="FV24" s="82">
        <f>+FV34</f>
        <v>29600.77</v>
      </c>
      <c r="FW24" s="82">
        <f>+FW34</f>
        <v>0</v>
      </c>
      <c r="FX24" s="82">
        <f>+FX34</f>
        <v>0</v>
      </c>
      <c r="FY24" s="82"/>
      <c r="FZ24">
        <f>SUM(FU24:FX24)</f>
        <v>208093.18</v>
      </c>
      <c r="GB24" s="82">
        <f>+GB34</f>
        <v>1062478.8600000001</v>
      </c>
      <c r="GC24" s="82">
        <f>+GC34</f>
        <v>200836.98</v>
      </c>
      <c r="GD24" s="82">
        <f>+GD34</f>
        <v>0</v>
      </c>
      <c r="GE24" s="82">
        <f>+GE34</f>
        <v>0</v>
      </c>
      <c r="GF24" s="82"/>
      <c r="GG24">
        <f>SUM(GB24:GE24)</f>
        <v>1263315.8400000001</v>
      </c>
      <c r="GI24" s="82">
        <f>+GI34</f>
        <v>809406.58</v>
      </c>
      <c r="GJ24" s="82">
        <f>+GJ34</f>
        <v>164463.19</v>
      </c>
      <c r="GK24" s="82">
        <f>+GK34</f>
        <v>0</v>
      </c>
      <c r="GL24" s="82">
        <f>+GL34</f>
        <v>0</v>
      </c>
      <c r="GM24" s="82"/>
      <c r="GN24">
        <f>SUM(GI24:GL24)</f>
        <v>973869.77</v>
      </c>
      <c r="GP24" s="82">
        <f>+GP34</f>
        <v>504506.76</v>
      </c>
      <c r="GQ24" s="82">
        <f>+GQ34</f>
        <v>123009.98</v>
      </c>
      <c r="GR24" s="82">
        <f>+GR34</f>
        <v>0</v>
      </c>
      <c r="GS24" s="82">
        <f>+GS34</f>
        <v>0</v>
      </c>
      <c r="GT24" s="82"/>
      <c r="GU24">
        <f>SUM(GP24:GS24)</f>
        <v>627516.74</v>
      </c>
      <c r="GW24" s="82">
        <f>+GW34</f>
        <v>235878.62</v>
      </c>
      <c r="GX24" s="82">
        <f>+GX34</f>
        <v>50268.42</v>
      </c>
      <c r="GY24" s="82">
        <f>+GY34</f>
        <v>0</v>
      </c>
      <c r="GZ24" s="82">
        <f>+GZ34</f>
        <v>0</v>
      </c>
      <c r="HA24" s="82"/>
      <c r="HB24">
        <f>SUM(GW24:GZ24)</f>
        <v>286147.03999999998</v>
      </c>
    </row>
    <row r="25" spans="1:211" ht="12.75" customHeight="1">
      <c r="A25" s="270"/>
      <c r="B25" s="30"/>
      <c r="C25" s="446"/>
      <c r="D25" s="270"/>
      <c r="E25" s="270"/>
      <c r="F25" s="270"/>
      <c r="G25" s="446"/>
      <c r="H25" s="270"/>
      <c r="I25" s="30"/>
      <c r="J25" s="446"/>
      <c r="K25" s="270"/>
      <c r="L25" s="270"/>
      <c r="M25" s="270"/>
      <c r="N25" s="446"/>
      <c r="O25" s="270"/>
      <c r="P25" s="30"/>
      <c r="Q25" s="446"/>
      <c r="R25" s="270"/>
      <c r="S25" s="270"/>
      <c r="T25" s="270"/>
      <c r="U25" s="446"/>
      <c r="V25" s="270"/>
      <c r="W25" s="30"/>
      <c r="X25" s="270"/>
      <c r="Y25" s="270"/>
      <c r="Z25" s="270"/>
      <c r="AA25" s="270"/>
      <c r="AB25" s="446"/>
      <c r="AC25" s="270"/>
      <c r="AD25" s="30"/>
      <c r="AE25" s="270"/>
      <c r="AF25" s="270"/>
      <c r="AG25" s="270"/>
      <c r="AH25" s="270"/>
      <c r="AI25" s="446"/>
      <c r="AJ25" s="270"/>
      <c r="AK25" s="30"/>
      <c r="AL25" s="270"/>
      <c r="AM25" s="270"/>
      <c r="AN25" s="270"/>
      <c r="AO25" s="270"/>
      <c r="AP25" s="446"/>
      <c r="AQ25" s="270"/>
      <c r="AR25" s="30"/>
      <c r="AS25" s="270"/>
      <c r="AT25" s="270"/>
      <c r="AU25" s="270"/>
      <c r="AV25" s="270"/>
      <c r="AW25" s="446"/>
      <c r="AX25" s="270"/>
      <c r="AY25" s="30"/>
      <c r="AZ25" s="270"/>
      <c r="BA25" s="270"/>
      <c r="BB25" s="270"/>
      <c r="BC25" s="270"/>
      <c r="BD25" s="270"/>
      <c r="BE25" s="270"/>
      <c r="BF25" s="30"/>
      <c r="BG25" s="270"/>
      <c r="BH25" s="270"/>
      <c r="BI25" s="270"/>
      <c r="BJ25" s="270"/>
      <c r="BK25" s="270"/>
      <c r="BL25" s="270"/>
      <c r="BM25" s="30"/>
      <c r="BN25" s="270"/>
      <c r="BO25" s="270"/>
      <c r="BP25" s="270"/>
      <c r="BQ25" s="270"/>
      <c r="BR25" s="270"/>
      <c r="BS25" s="270"/>
      <c r="BT25" s="30"/>
      <c r="BU25" s="270"/>
      <c r="BV25" s="270"/>
      <c r="BW25" s="270"/>
      <c r="BX25" s="270"/>
      <c r="BY25" s="270"/>
      <c r="BZ25" s="270"/>
      <c r="CA25" s="30"/>
      <c r="CB25" s="270"/>
      <c r="CC25" s="270"/>
      <c r="CD25" s="270"/>
      <c r="CE25" s="270"/>
      <c r="CF25" s="270"/>
      <c r="CG25" s="270"/>
      <c r="CH25" s="30"/>
      <c r="CI25" s="270"/>
      <c r="CJ25" s="270"/>
      <c r="CK25" s="270"/>
      <c r="CL25" s="270"/>
      <c r="CM25" s="270"/>
      <c r="CN25" s="270"/>
      <c r="CO25" s="30"/>
      <c r="CP25" s="270"/>
      <c r="CQ25" s="270"/>
      <c r="CR25" s="270"/>
      <c r="CS25" s="270"/>
      <c r="CT25" s="270"/>
      <c r="CU25" s="270"/>
      <c r="CV25" s="30"/>
      <c r="CW25" s="270"/>
      <c r="CX25" s="270"/>
      <c r="CY25" s="270"/>
      <c r="CZ25" s="270"/>
      <c r="DA25" s="270"/>
      <c r="DB25" s="270"/>
      <c r="DC25" s="30"/>
      <c r="DD25" s="270"/>
      <c r="DE25" s="270"/>
      <c r="DF25" s="270"/>
      <c r="DG25" s="270"/>
      <c r="DH25" s="270"/>
      <c r="DI25" s="270"/>
      <c r="DJ25" s="30"/>
      <c r="DK25" s="270"/>
      <c r="DL25" s="270"/>
      <c r="DM25" s="270"/>
      <c r="DN25" s="270"/>
      <c r="DO25" s="270"/>
      <c r="DP25" s="270"/>
      <c r="DQ25" s="30"/>
      <c r="DR25" s="270"/>
      <c r="DS25" s="270"/>
      <c r="DT25" s="270"/>
      <c r="DU25" s="270"/>
      <c r="DV25" s="270"/>
      <c r="DW25" s="270"/>
      <c r="DX25" s="30"/>
      <c r="DY25" s="270"/>
      <c r="DZ25" s="270"/>
      <c r="EA25" s="270"/>
      <c r="EB25" s="270"/>
      <c r="EC25" s="270"/>
      <c r="ED25" s="270"/>
      <c r="EE25" s="30"/>
      <c r="EF25" s="270"/>
      <c r="EG25" s="270"/>
      <c r="EH25" s="270"/>
      <c r="EI25" s="270"/>
      <c r="EJ25" s="270"/>
      <c r="EK25" s="270"/>
      <c r="EL25" s="30"/>
      <c r="EM25" s="270"/>
      <c r="EN25" s="270"/>
      <c r="EO25" s="270"/>
      <c r="EP25" s="270"/>
      <c r="EQ25" s="270"/>
      <c r="ER25" s="270"/>
      <c r="ES25" s="30"/>
      <c r="ET25" s="270"/>
      <c r="EU25" s="270"/>
      <c r="EV25" s="270"/>
      <c r="EW25" s="270"/>
      <c r="EX25" s="270"/>
      <c r="EY25" s="270"/>
      <c r="EZ25" s="30"/>
      <c r="FA25" s="270"/>
      <c r="FB25" s="270"/>
      <c r="FC25" s="270"/>
      <c r="FD25" s="270"/>
      <c r="FE25" s="270"/>
      <c r="FF25" s="270"/>
      <c r="FG25" s="30"/>
      <c r="FH25" s="270"/>
      <c r="FI25" s="270"/>
      <c r="FJ25" s="270"/>
      <c r="FK25" s="270"/>
      <c r="FL25" s="270"/>
      <c r="FM25" s="270"/>
      <c r="FN25" s="30"/>
      <c r="FO25" s="270"/>
      <c r="FP25" s="270"/>
      <c r="FQ25" s="270"/>
      <c r="FR25" s="270"/>
      <c r="FS25" s="270"/>
      <c r="FT25" s="270"/>
      <c r="FU25" s="30"/>
      <c r="FV25" s="270"/>
      <c r="FW25" s="270"/>
      <c r="FX25" s="270"/>
      <c r="FY25" s="270"/>
      <c r="FZ25" s="270"/>
      <c r="GA25" s="270"/>
      <c r="GB25" s="30"/>
      <c r="GC25" s="270"/>
      <c r="GD25" s="270"/>
      <c r="GE25" s="270"/>
      <c r="GF25" s="270"/>
      <c r="GG25" s="270"/>
      <c r="GH25" s="270"/>
      <c r="GI25" s="30"/>
      <c r="GJ25" s="270"/>
      <c r="GK25" s="270"/>
      <c r="GL25" s="270"/>
      <c r="GM25" s="270"/>
      <c r="GN25" s="270"/>
      <c r="GO25" s="270"/>
      <c r="GP25" s="30"/>
      <c r="GQ25" s="270"/>
      <c r="GR25" s="270"/>
      <c r="GS25" s="270"/>
      <c r="GT25" s="270"/>
      <c r="GU25" s="270"/>
      <c r="GV25" s="270"/>
      <c r="GW25" s="30"/>
      <c r="GX25" s="270"/>
      <c r="GY25" s="270"/>
      <c r="GZ25" s="270"/>
      <c r="HA25" s="270"/>
      <c r="HB25" s="270"/>
      <c r="HC25" s="270"/>
    </row>
    <row r="26" spans="1:211" ht="12.75" customHeight="1">
      <c r="A26" s="279" t="s">
        <v>504</v>
      </c>
      <c r="B26" s="30"/>
      <c r="C26" s="279"/>
      <c r="D26" s="279"/>
      <c r="E26" s="279"/>
      <c r="F26" s="279"/>
      <c r="G26" s="279"/>
      <c r="H26" s="279"/>
      <c r="I26" s="30"/>
      <c r="J26" s="279"/>
      <c r="K26" s="279"/>
      <c r="L26" s="279"/>
      <c r="M26" s="279"/>
      <c r="N26" s="279"/>
      <c r="O26" s="279"/>
      <c r="P26" s="30"/>
      <c r="Q26" s="279"/>
      <c r="R26" s="279"/>
      <c r="S26" s="279"/>
      <c r="T26" s="279"/>
      <c r="U26" s="279"/>
      <c r="V26" s="279"/>
      <c r="W26" s="30"/>
      <c r="X26" s="279"/>
      <c r="Y26" s="279"/>
      <c r="Z26" s="279"/>
      <c r="AA26" s="279"/>
      <c r="AB26" s="279"/>
      <c r="AC26" s="279"/>
      <c r="AD26" s="30"/>
      <c r="AE26" s="279"/>
      <c r="AF26" s="279"/>
      <c r="AG26" s="279"/>
      <c r="AH26" s="279"/>
      <c r="AI26" s="279"/>
      <c r="AJ26" s="279"/>
      <c r="AK26" s="30"/>
      <c r="AL26" s="279"/>
      <c r="AM26" s="279"/>
      <c r="AN26" s="279"/>
      <c r="AO26" s="279"/>
      <c r="AP26" s="279"/>
      <c r="AQ26" s="279"/>
      <c r="AR26" s="30"/>
      <c r="AS26" s="279"/>
      <c r="AT26" s="279"/>
      <c r="AU26" s="279"/>
      <c r="AV26" s="279"/>
      <c r="AW26" s="279"/>
      <c r="AX26" s="279"/>
      <c r="AY26" s="30"/>
      <c r="AZ26" s="279"/>
      <c r="BA26" s="279"/>
      <c r="BB26" s="279"/>
      <c r="BC26" s="279"/>
      <c r="BD26" s="279"/>
      <c r="BE26" s="279"/>
      <c r="BF26" s="30"/>
      <c r="BG26" s="279"/>
      <c r="BH26" s="279"/>
      <c r="BI26" s="279"/>
      <c r="BJ26" s="279"/>
      <c r="BK26" s="279"/>
      <c r="BL26" s="279"/>
      <c r="BM26" s="30"/>
      <c r="BN26" s="279"/>
      <c r="BO26" s="279"/>
      <c r="BP26" s="279"/>
      <c r="BQ26" s="279"/>
      <c r="BR26" s="279"/>
      <c r="BS26" s="279"/>
      <c r="BT26" s="30"/>
      <c r="BU26" s="279"/>
      <c r="BV26" s="279"/>
      <c r="BW26" s="279"/>
      <c r="BX26" s="279"/>
      <c r="BY26" s="279"/>
      <c r="BZ26" s="279"/>
      <c r="CA26" s="30"/>
      <c r="CB26" s="279"/>
      <c r="CC26" s="279"/>
      <c r="CD26" s="279"/>
      <c r="CE26" s="279"/>
      <c r="CF26" s="279"/>
      <c r="CG26" s="279"/>
      <c r="CH26" s="30"/>
      <c r="CI26" s="279"/>
      <c r="CJ26" s="279"/>
      <c r="CK26" s="279"/>
      <c r="CL26" s="279"/>
      <c r="CM26" s="279"/>
      <c r="CN26" s="279"/>
      <c r="CO26" s="30"/>
      <c r="CP26" s="279"/>
      <c r="CQ26" s="279"/>
      <c r="CR26" s="279"/>
      <c r="CS26" s="279"/>
      <c r="CT26" s="279"/>
      <c r="CU26" s="279"/>
      <c r="CV26" s="30"/>
      <c r="CW26" s="279"/>
      <c r="CX26" s="279"/>
      <c r="CY26" s="279"/>
      <c r="CZ26" s="279"/>
      <c r="DA26" s="279"/>
      <c r="DB26" s="279"/>
      <c r="DC26" s="30"/>
      <c r="DD26" s="279"/>
      <c r="DE26" s="279"/>
      <c r="DF26" s="279"/>
      <c r="DG26" s="279"/>
      <c r="DH26" s="279"/>
      <c r="DI26" s="279"/>
      <c r="DJ26" s="30"/>
      <c r="DK26" s="279"/>
      <c r="DL26" s="279"/>
      <c r="DM26" s="279"/>
      <c r="DN26" s="279"/>
      <c r="DO26" s="279"/>
      <c r="DP26" s="279"/>
      <c r="DQ26" s="30"/>
      <c r="DR26" s="279"/>
      <c r="DS26" s="279"/>
      <c r="DT26" s="279"/>
      <c r="DU26" s="279"/>
      <c r="DV26" s="279"/>
      <c r="DW26" s="279"/>
      <c r="DX26" s="30"/>
      <c r="DY26" s="279"/>
      <c r="DZ26" s="279"/>
      <c r="EA26" s="279"/>
      <c r="EB26" s="279"/>
      <c r="EC26" s="279"/>
      <c r="ED26" s="279"/>
      <c r="EE26" s="30"/>
      <c r="EF26" s="279"/>
      <c r="EG26" s="279"/>
      <c r="EH26" s="279"/>
      <c r="EI26" s="279"/>
      <c r="EJ26" s="279"/>
      <c r="EK26" s="279"/>
      <c r="EL26" s="30"/>
      <c r="EM26" s="279"/>
      <c r="EN26" s="279"/>
      <c r="EO26" s="279"/>
      <c r="EP26" s="279"/>
      <c r="EQ26" s="279"/>
      <c r="ER26" s="279"/>
      <c r="ES26" s="30"/>
      <c r="ET26" s="279"/>
      <c r="EU26" s="279"/>
      <c r="EV26" s="279"/>
      <c r="EW26" s="279"/>
      <c r="EX26" s="279"/>
      <c r="EY26" s="279"/>
      <c r="EZ26" s="30"/>
      <c r="FA26" s="279"/>
      <c r="FB26" s="279"/>
      <c r="FC26" s="279"/>
      <c r="FD26" s="279"/>
      <c r="FE26" s="279"/>
      <c r="FF26" s="279"/>
      <c r="FG26" s="30"/>
      <c r="FH26" s="279"/>
      <c r="FI26" s="279"/>
      <c r="FJ26" s="279"/>
      <c r="FK26" s="279"/>
      <c r="FL26" s="279"/>
      <c r="FM26" s="279"/>
      <c r="FN26" s="30"/>
      <c r="FO26" s="279"/>
      <c r="FP26" s="279"/>
      <c r="FQ26" s="279"/>
      <c r="FR26" s="279"/>
      <c r="FS26" s="279"/>
      <c r="FT26" s="279"/>
      <c r="FU26" s="30"/>
      <c r="FV26" s="279"/>
      <c r="FW26" s="279"/>
      <c r="FX26" s="279"/>
      <c r="FY26" s="279"/>
      <c r="FZ26" s="279"/>
      <c r="GA26" s="279"/>
      <c r="GB26" s="30"/>
      <c r="GC26" s="279"/>
      <c r="GD26" s="279"/>
      <c r="GE26" s="279"/>
      <c r="GF26" s="279"/>
      <c r="GG26" s="279"/>
      <c r="GH26" s="279"/>
      <c r="GI26" s="30"/>
      <c r="GJ26" s="279"/>
      <c r="GK26" s="279"/>
      <c r="GL26" s="279"/>
      <c r="GM26" s="279"/>
      <c r="GN26" s="279"/>
      <c r="GO26" s="279"/>
      <c r="GP26" s="30"/>
      <c r="GQ26" s="279"/>
      <c r="GR26" s="279"/>
      <c r="GS26" s="279"/>
      <c r="GT26" s="279"/>
      <c r="GU26" s="279"/>
      <c r="GV26" s="279"/>
      <c r="GW26" s="30"/>
      <c r="GX26" s="279"/>
      <c r="GY26" s="279"/>
      <c r="GZ26" s="279"/>
      <c r="HA26" s="279"/>
      <c r="HB26" s="279"/>
      <c r="HC26" s="279"/>
    </row>
    <row r="27" spans="1:211" ht="12.75" customHeight="1">
      <c r="A27" s="279"/>
      <c r="B27" s="248" t="s">
        <v>431</v>
      </c>
      <c r="C27" s="248" t="s">
        <v>253</v>
      </c>
      <c r="D27" s="279"/>
      <c r="E27" s="279"/>
      <c r="F27" s="279"/>
      <c r="G27" s="279"/>
      <c r="H27" s="279"/>
      <c r="I27" s="248" t="s">
        <v>431</v>
      </c>
      <c r="J27" s="248" t="s">
        <v>253</v>
      </c>
      <c r="K27" s="279"/>
      <c r="L27" s="279"/>
      <c r="M27" s="279"/>
      <c r="N27" s="279"/>
      <c r="O27" s="279"/>
      <c r="P27" s="248" t="s">
        <v>431</v>
      </c>
      <c r="Q27" s="248" t="s">
        <v>253</v>
      </c>
      <c r="R27" s="279"/>
      <c r="S27" s="279"/>
      <c r="T27" s="279"/>
      <c r="U27" s="279"/>
      <c r="V27" s="279"/>
      <c r="W27" s="248" t="s">
        <v>431</v>
      </c>
      <c r="X27" s="248" t="s">
        <v>253</v>
      </c>
      <c r="Y27" s="279"/>
      <c r="Z27" s="279"/>
      <c r="AA27" s="279"/>
      <c r="AB27" s="279"/>
      <c r="AC27" s="279"/>
      <c r="AD27" s="248" t="s">
        <v>431</v>
      </c>
      <c r="AE27" s="248" t="s">
        <v>253</v>
      </c>
      <c r="AF27" s="279"/>
      <c r="AG27" s="279"/>
      <c r="AH27" s="279"/>
      <c r="AI27" s="279"/>
      <c r="AJ27" s="279"/>
      <c r="AK27" s="248" t="s">
        <v>431</v>
      </c>
      <c r="AL27" s="248" t="s">
        <v>253</v>
      </c>
      <c r="AM27" s="279"/>
      <c r="AN27" s="279"/>
      <c r="AO27" s="279"/>
      <c r="AP27" s="279"/>
      <c r="AQ27" s="279"/>
      <c r="AR27" s="248" t="s">
        <v>431</v>
      </c>
      <c r="AS27" s="248" t="s">
        <v>253</v>
      </c>
      <c r="AT27" s="279"/>
      <c r="AU27" s="279"/>
      <c r="AV27" s="279"/>
      <c r="AW27" s="279"/>
      <c r="AX27" s="279"/>
      <c r="AY27" s="248" t="s">
        <v>431</v>
      </c>
      <c r="AZ27" s="248" t="s">
        <v>253</v>
      </c>
      <c r="BA27" s="279"/>
      <c r="BB27" s="279"/>
      <c r="BC27" s="279"/>
      <c r="BD27" s="279"/>
      <c r="BE27" s="279"/>
      <c r="BF27" s="248" t="s">
        <v>431</v>
      </c>
      <c r="BG27" s="248" t="s">
        <v>253</v>
      </c>
      <c r="BH27" s="279"/>
      <c r="BI27" s="279"/>
      <c r="BJ27" s="279"/>
      <c r="BK27" s="279"/>
      <c r="BL27" s="279"/>
      <c r="BM27" s="248" t="s">
        <v>431</v>
      </c>
      <c r="BN27" s="248" t="s">
        <v>253</v>
      </c>
      <c r="BO27" s="279"/>
      <c r="BP27" s="279"/>
      <c r="BQ27" s="279"/>
      <c r="BR27" s="279"/>
      <c r="BS27" s="279"/>
      <c r="BT27" s="248" t="s">
        <v>431</v>
      </c>
      <c r="BU27" s="248" t="s">
        <v>253</v>
      </c>
      <c r="BV27" s="279"/>
      <c r="BW27" s="279"/>
      <c r="BX27" s="279"/>
      <c r="BY27" s="279"/>
      <c r="BZ27" s="279"/>
      <c r="CA27" s="248" t="s">
        <v>431</v>
      </c>
      <c r="CB27" s="248" t="s">
        <v>253</v>
      </c>
      <c r="CC27" s="279"/>
      <c r="CD27" s="279"/>
      <c r="CE27" s="279"/>
      <c r="CF27" s="279"/>
      <c r="CG27" s="279"/>
      <c r="CH27" s="248" t="s">
        <v>431</v>
      </c>
      <c r="CI27" s="248" t="s">
        <v>253</v>
      </c>
      <c r="CJ27" s="279"/>
      <c r="CK27" s="279"/>
      <c r="CL27" s="279"/>
      <c r="CM27" s="279"/>
      <c r="CN27" s="279"/>
      <c r="CO27" s="248" t="s">
        <v>431</v>
      </c>
      <c r="CP27" s="248" t="s">
        <v>253</v>
      </c>
      <c r="CQ27" s="279"/>
      <c r="CR27" s="279"/>
      <c r="CS27" s="279"/>
      <c r="CT27" s="279"/>
      <c r="CU27" s="279"/>
      <c r="CV27" s="248" t="s">
        <v>431</v>
      </c>
      <c r="CW27" s="248" t="s">
        <v>253</v>
      </c>
      <c r="CX27" s="279"/>
      <c r="CY27" s="279"/>
      <c r="CZ27" s="279"/>
      <c r="DA27" s="279"/>
      <c r="DB27" s="279"/>
      <c r="DC27" s="248" t="s">
        <v>431</v>
      </c>
      <c r="DD27" s="248" t="s">
        <v>253</v>
      </c>
      <c r="DE27" s="279"/>
      <c r="DF27" s="279"/>
      <c r="DG27" s="279"/>
      <c r="DH27" s="279"/>
      <c r="DI27" s="279"/>
      <c r="DJ27" s="248" t="s">
        <v>431</v>
      </c>
      <c r="DK27" s="248" t="s">
        <v>253</v>
      </c>
      <c r="DL27" s="279"/>
      <c r="DM27" s="279"/>
      <c r="DN27" s="279"/>
      <c r="DO27" s="279"/>
      <c r="DP27" s="279"/>
      <c r="DQ27" s="248" t="s">
        <v>431</v>
      </c>
      <c r="DR27" s="248" t="s">
        <v>253</v>
      </c>
      <c r="DS27" s="279"/>
      <c r="DT27" s="279"/>
      <c r="DU27" s="279"/>
      <c r="DV27" s="279"/>
      <c r="DW27" s="279"/>
      <c r="DX27" s="248" t="s">
        <v>431</v>
      </c>
      <c r="DY27" s="248" t="s">
        <v>253</v>
      </c>
      <c r="DZ27" s="279"/>
      <c r="EA27" s="279"/>
      <c r="EB27" s="279"/>
      <c r="EC27" s="279"/>
      <c r="ED27" s="279"/>
      <c r="EE27" s="248" t="s">
        <v>431</v>
      </c>
      <c r="EF27" s="248" t="s">
        <v>253</v>
      </c>
      <c r="EG27" s="279"/>
      <c r="EH27" s="279"/>
      <c r="EI27" s="279"/>
      <c r="EJ27" s="279"/>
      <c r="EK27" s="279"/>
      <c r="EL27" s="248" t="s">
        <v>431</v>
      </c>
      <c r="EM27" s="248" t="s">
        <v>253</v>
      </c>
      <c r="EN27" s="279"/>
      <c r="EO27" s="279"/>
      <c r="EP27" s="279"/>
      <c r="EQ27" s="279"/>
      <c r="ER27" s="279"/>
      <c r="ES27" s="248" t="s">
        <v>431</v>
      </c>
      <c r="ET27" s="248" t="s">
        <v>253</v>
      </c>
      <c r="EU27" s="279"/>
      <c r="EV27" s="279"/>
      <c r="EW27" s="279"/>
      <c r="EX27" s="279"/>
      <c r="EY27" s="279"/>
      <c r="EZ27" s="248" t="s">
        <v>431</v>
      </c>
      <c r="FA27" s="248" t="s">
        <v>253</v>
      </c>
      <c r="FB27" s="279"/>
      <c r="FC27" s="279"/>
      <c r="FD27" s="279"/>
      <c r="FE27" s="279"/>
      <c r="FF27" s="279"/>
      <c r="FG27" s="248" t="s">
        <v>431</v>
      </c>
      <c r="FH27" s="248" t="s">
        <v>253</v>
      </c>
      <c r="FI27" s="279"/>
      <c r="FJ27" s="279"/>
      <c r="FK27" s="279"/>
      <c r="FL27" s="279"/>
      <c r="FM27" s="279"/>
      <c r="FN27" s="248" t="s">
        <v>431</v>
      </c>
      <c r="FO27" s="248" t="s">
        <v>253</v>
      </c>
      <c r="FP27" s="279"/>
      <c r="FQ27" s="279"/>
      <c r="FR27" s="279"/>
      <c r="FS27" s="279"/>
      <c r="FT27" s="279"/>
      <c r="FU27" s="248" t="s">
        <v>431</v>
      </c>
      <c r="FV27" s="248" t="s">
        <v>253</v>
      </c>
      <c r="FW27" s="279"/>
      <c r="FX27" s="279"/>
      <c r="FY27" s="279"/>
      <c r="FZ27" s="279"/>
      <c r="GA27" s="279"/>
      <c r="GB27" s="248" t="s">
        <v>431</v>
      </c>
      <c r="GC27" s="248" t="s">
        <v>253</v>
      </c>
      <c r="GD27" s="279"/>
      <c r="GE27" s="279"/>
      <c r="GF27" s="279"/>
      <c r="GG27" s="279"/>
      <c r="GH27" s="279"/>
      <c r="GI27" s="248" t="s">
        <v>431</v>
      </c>
      <c r="GJ27" s="248" t="s">
        <v>253</v>
      </c>
      <c r="GK27" s="279"/>
      <c r="GL27" s="279"/>
      <c r="GM27" s="279"/>
      <c r="GN27" s="279"/>
      <c r="GO27" s="279"/>
      <c r="GP27" s="248" t="s">
        <v>431</v>
      </c>
      <c r="GQ27" s="248" t="s">
        <v>253</v>
      </c>
      <c r="GR27" s="279"/>
      <c r="GS27" s="279"/>
      <c r="GT27" s="279"/>
      <c r="GU27" s="279"/>
      <c r="GV27" s="279"/>
      <c r="GW27" s="248" t="s">
        <v>431</v>
      </c>
      <c r="GX27" s="248" t="s">
        <v>253</v>
      </c>
      <c r="GY27" s="279"/>
      <c r="GZ27" s="279"/>
      <c r="HA27" s="279"/>
      <c r="HB27" s="279"/>
      <c r="HC27" s="279"/>
    </row>
    <row r="28" spans="1:211" ht="12.75" customHeight="1">
      <c r="A28" t="s">
        <v>517</v>
      </c>
      <c r="B28" s="81"/>
      <c r="C28" s="30"/>
      <c r="D28" s="30"/>
      <c r="E28" s="30"/>
      <c r="F28" s="30"/>
      <c r="G28" s="82">
        <f t="shared" ref="G28:G33" si="2">SUM(B28:F28)</f>
        <v>0</v>
      </c>
      <c r="I28" s="81"/>
      <c r="J28" s="30"/>
      <c r="K28" s="30"/>
      <c r="L28" s="30"/>
      <c r="M28" s="30"/>
      <c r="N28" s="82">
        <f t="shared" ref="N28:N33" si="3">SUM(I28:M28)</f>
        <v>0</v>
      </c>
      <c r="P28" s="81"/>
      <c r="Q28" s="30"/>
      <c r="R28" s="30"/>
      <c r="S28" s="30"/>
      <c r="T28" s="30"/>
      <c r="U28" s="82">
        <f t="shared" ref="U28:U33" si="4">SUM(P28:T28)</f>
        <v>0</v>
      </c>
      <c r="W28" s="81"/>
      <c r="X28" s="30"/>
      <c r="Y28" s="30"/>
      <c r="Z28" s="30"/>
      <c r="AA28" s="30"/>
      <c r="AB28" s="82">
        <f t="shared" ref="AB28:AB33" si="5">SUM(W28:AA28)</f>
        <v>0</v>
      </c>
      <c r="AC28" s="82"/>
      <c r="AD28" s="81"/>
      <c r="AE28" s="30"/>
      <c r="AF28" s="30"/>
      <c r="AG28" s="30"/>
      <c r="AH28" s="30"/>
      <c r="AI28" s="82">
        <f t="shared" ref="AI28:AI33" si="6">SUM(AD28:AH28)</f>
        <v>0</v>
      </c>
      <c r="AJ28" s="82"/>
      <c r="AK28" s="81"/>
      <c r="AL28" s="30"/>
      <c r="AM28" s="30"/>
      <c r="AN28" s="30"/>
      <c r="AO28" s="30"/>
      <c r="AP28" s="82">
        <f t="shared" ref="AP28:AP33" si="7">SUM(AK28:AO28)</f>
        <v>0</v>
      </c>
      <c r="AQ28" s="82"/>
      <c r="AR28" s="81"/>
      <c r="AS28" s="30"/>
      <c r="AT28" s="30"/>
      <c r="AU28" s="30"/>
      <c r="AV28" s="30"/>
      <c r="AW28" s="82">
        <f t="shared" ref="AW28:AW37" si="8">SUM(AR28:AV28)</f>
        <v>0</v>
      </c>
      <c r="AX28" s="82"/>
      <c r="AY28" s="81"/>
      <c r="AZ28" s="30"/>
      <c r="BA28" s="30"/>
      <c r="BB28" s="30"/>
      <c r="BC28" s="30"/>
      <c r="BD28" s="82">
        <f t="shared" ref="BD28:BD37" si="9">SUM(AY28:BC28)</f>
        <v>0</v>
      </c>
      <c r="BE28" s="82"/>
      <c r="BF28" s="81"/>
      <c r="BG28" s="30"/>
      <c r="BH28" s="30"/>
      <c r="BI28" s="30"/>
      <c r="BJ28" s="30"/>
      <c r="BK28" s="82">
        <f t="shared" ref="BK28:BK37" si="10">SUM(BF28:BJ28)</f>
        <v>0</v>
      </c>
      <c r="BL28" s="82"/>
      <c r="BM28" s="81"/>
      <c r="BN28" s="30"/>
      <c r="BO28" s="30"/>
      <c r="BP28" s="30"/>
      <c r="BQ28" s="30"/>
      <c r="BR28" s="82">
        <f t="shared" ref="BR28:BR33" si="11">SUM(BM28:BQ28)</f>
        <v>0</v>
      </c>
      <c r="BS28" s="82"/>
      <c r="BT28" s="81"/>
      <c r="BU28" s="30"/>
      <c r="BV28" s="30"/>
      <c r="BW28" s="30"/>
      <c r="BX28" s="30"/>
      <c r="BY28" s="82">
        <f t="shared" ref="BY28:BY33" si="12">SUM(BT28:BX28)</f>
        <v>0</v>
      </c>
      <c r="BZ28" s="82"/>
      <c r="CA28" s="81"/>
      <c r="CB28" s="30"/>
      <c r="CC28" s="30"/>
      <c r="CD28" s="30"/>
      <c r="CE28" s="30"/>
      <c r="CF28" s="82">
        <f t="shared" ref="CF28:CF33" si="13">SUM(CA28:CE28)</f>
        <v>0</v>
      </c>
      <c r="CG28" s="82"/>
      <c r="CH28" s="81"/>
      <c r="CI28" s="30"/>
      <c r="CJ28" s="30"/>
      <c r="CK28" s="30"/>
      <c r="CL28" s="30"/>
      <c r="CM28" s="82">
        <f t="shared" ref="CM28:CM33" si="14">SUM(CH28:CL28)</f>
        <v>0</v>
      </c>
      <c r="CN28" s="82"/>
      <c r="CO28" s="81"/>
      <c r="CP28" s="30"/>
      <c r="CQ28" s="30"/>
      <c r="CR28" s="30"/>
      <c r="CS28" s="30"/>
      <c r="CT28" s="82">
        <f t="shared" ref="CT28:CT35" si="15">SUM(CO28:CS28)</f>
        <v>0</v>
      </c>
      <c r="CU28" s="82"/>
      <c r="CV28" s="81"/>
      <c r="CW28" s="30"/>
      <c r="CX28" s="30"/>
      <c r="CY28" s="30"/>
      <c r="CZ28" s="30"/>
      <c r="DA28" s="82">
        <f t="shared" ref="DA28:DA35" si="16">SUM(CV28:CZ28)</f>
        <v>0</v>
      </c>
      <c r="DB28" s="82"/>
      <c r="DC28" s="81"/>
      <c r="DD28" s="30"/>
      <c r="DE28" s="30"/>
      <c r="DF28" s="30"/>
      <c r="DG28" s="30"/>
      <c r="DH28" s="82">
        <f t="shared" ref="DH28:DH35" si="17">SUM(DC28:DG28)</f>
        <v>0</v>
      </c>
      <c r="DI28" s="82"/>
      <c r="DJ28" s="81"/>
      <c r="DK28" s="30"/>
      <c r="DL28" s="30"/>
      <c r="DM28" s="30"/>
      <c r="DN28" s="30"/>
      <c r="DO28" s="82">
        <f t="shared" ref="DO28:DO35" si="18">SUM(DJ28:DN28)</f>
        <v>0</v>
      </c>
      <c r="DP28" s="82"/>
      <c r="DQ28" s="81"/>
      <c r="DR28" s="30"/>
      <c r="DS28" s="30"/>
      <c r="DT28" s="30"/>
      <c r="DU28" s="30"/>
      <c r="DV28" s="82">
        <f t="shared" ref="DV28:DV35" si="19">SUM(DQ28:DU28)</f>
        <v>0</v>
      </c>
      <c r="DW28" s="82"/>
      <c r="DX28" s="81"/>
      <c r="DY28" s="30"/>
      <c r="DZ28" s="30"/>
      <c r="EA28" s="30"/>
      <c r="EB28" s="30"/>
      <c r="EC28" s="82">
        <f t="shared" ref="EC28:EC35" si="20">SUM(DX28:EB28)</f>
        <v>0</v>
      </c>
      <c r="ED28" s="82"/>
      <c r="EE28" s="81"/>
      <c r="EF28" s="30"/>
      <c r="EG28" s="30"/>
      <c r="EH28" s="30"/>
      <c r="EI28" s="30"/>
      <c r="EJ28" s="82">
        <f t="shared" ref="EJ28:EJ35" si="21">SUM(EE28:EI28)</f>
        <v>0</v>
      </c>
      <c r="EK28" s="82"/>
      <c r="EL28" s="81"/>
      <c r="EM28" s="30"/>
      <c r="EN28" s="30"/>
      <c r="EO28" s="30"/>
      <c r="EP28" s="30"/>
      <c r="EQ28" s="82">
        <f t="shared" ref="EQ28:EQ35" si="22">SUM(EL28:EP28)</f>
        <v>0</v>
      </c>
      <c r="ER28" s="82"/>
      <c r="ES28" s="81"/>
      <c r="ET28" s="30"/>
      <c r="EU28" s="30"/>
      <c r="EV28" s="30"/>
      <c r="EW28" s="30"/>
      <c r="EX28" s="82">
        <f t="shared" ref="EX28:EX35" si="23">SUM(ES28:EW28)</f>
        <v>0</v>
      </c>
      <c r="EY28" s="82"/>
      <c r="EZ28" s="81">
        <f>80000*3</f>
        <v>240000</v>
      </c>
      <c r="FA28" s="30"/>
      <c r="FB28" s="30"/>
      <c r="FC28" s="30"/>
      <c r="FD28" s="30"/>
      <c r="FE28" s="82">
        <f t="shared" ref="FE28:FE35" si="24">SUM(EZ28:FD28)</f>
        <v>240000</v>
      </c>
      <c r="FF28" s="82"/>
      <c r="FG28" s="81">
        <f>80000*3</f>
        <v>240000</v>
      </c>
      <c r="FH28" s="30"/>
      <c r="FI28" s="30"/>
      <c r="FJ28" s="30"/>
      <c r="FK28" s="30"/>
      <c r="FL28" s="82">
        <f t="shared" ref="FL28:FL35" si="25">SUM(FG28:FK28)</f>
        <v>240000</v>
      </c>
      <c r="FM28" s="82"/>
      <c r="FN28" s="81">
        <f>80000*3</f>
        <v>240000</v>
      </c>
      <c r="FO28" s="30"/>
      <c r="FP28" s="30"/>
      <c r="FQ28" s="30"/>
      <c r="FR28" s="30"/>
      <c r="FS28" s="82">
        <f>SUM(FN28:FR28)</f>
        <v>240000</v>
      </c>
      <c r="FT28" s="82"/>
      <c r="FU28" s="81">
        <f>80000*3</f>
        <v>240000</v>
      </c>
      <c r="FV28" s="30"/>
      <c r="FW28" s="30"/>
      <c r="FX28" s="30"/>
      <c r="FY28" s="30"/>
      <c r="FZ28" s="82">
        <f>SUM(FU28:FY28)</f>
        <v>240000</v>
      </c>
      <c r="GA28" s="30"/>
      <c r="GB28" s="81">
        <f>15000*2+80000*6</f>
        <v>510000</v>
      </c>
      <c r="GC28" s="30"/>
      <c r="GD28" s="30"/>
      <c r="GE28" s="30"/>
      <c r="GF28" s="30"/>
      <c r="GG28" s="82">
        <f>SUM(GB28:GF28)</f>
        <v>510000</v>
      </c>
      <c r="GH28" s="30"/>
      <c r="GI28" s="81">
        <f>15000*2+80000*3</f>
        <v>270000</v>
      </c>
      <c r="GJ28" s="30"/>
      <c r="GK28" s="30"/>
      <c r="GL28" s="30"/>
      <c r="GM28" s="30"/>
      <c r="GN28" s="82">
        <f>SUM(GI28:GM28)</f>
        <v>270000</v>
      </c>
      <c r="GO28" s="30"/>
      <c r="GP28" s="81">
        <f>15000*2</f>
        <v>30000</v>
      </c>
      <c r="GQ28" s="30"/>
      <c r="GR28" s="30"/>
      <c r="GS28" s="30"/>
      <c r="GT28" s="30"/>
      <c r="GU28">
        <f>SUM(GP28:GS28)</f>
        <v>30000</v>
      </c>
      <c r="GV28" s="30"/>
      <c r="GW28" s="30">
        <v>15000</v>
      </c>
      <c r="GX28" s="30"/>
      <c r="GY28" s="30"/>
      <c r="GZ28" s="30"/>
      <c r="HA28" s="30"/>
      <c r="HB28">
        <f>SUM(GW28:GZ28)</f>
        <v>15000</v>
      </c>
      <c r="HC28" s="30"/>
    </row>
    <row r="29" spans="1:211" ht="12.75" customHeight="1">
      <c r="A29" t="s">
        <v>505</v>
      </c>
      <c r="B29" s="81">
        <f>-SUMPRODUCT((Alcom!$B$3:$B$2399="Interco income/Expenses")*(MONTH(date)&lt;=MONTH('ANSC-TB'!$G$5)),(Alcom!$K$3:$V$2399))</f>
        <v>153000</v>
      </c>
      <c r="F29" s="82">
        <f>-B29</f>
        <v>-153000</v>
      </c>
      <c r="G29" s="82">
        <f t="shared" si="2"/>
        <v>0</v>
      </c>
      <c r="I29" s="81">
        <v>612000</v>
      </c>
      <c r="M29" s="82">
        <v>-612000</v>
      </c>
      <c r="N29" s="82">
        <f t="shared" si="3"/>
        <v>0</v>
      </c>
      <c r="P29" s="81">
        <v>459000</v>
      </c>
      <c r="T29" s="82">
        <v>-459000</v>
      </c>
      <c r="U29" s="82">
        <f t="shared" si="4"/>
        <v>0</v>
      </c>
      <c r="W29" s="81">
        <v>306000</v>
      </c>
      <c r="AA29" s="82">
        <v>-306000</v>
      </c>
      <c r="AB29" s="82">
        <f t="shared" si="5"/>
        <v>0</v>
      </c>
      <c r="AC29" s="82"/>
      <c r="AD29" s="82">
        <f>153000</f>
        <v>153000</v>
      </c>
      <c r="AH29">
        <f>-153000</f>
        <v>-153000</v>
      </c>
      <c r="AI29" s="82">
        <f t="shared" si="6"/>
        <v>0</v>
      </c>
      <c r="AJ29" s="82"/>
      <c r="AK29" s="82">
        <f>153000+153000+153000+153000</f>
        <v>612000</v>
      </c>
      <c r="AO29">
        <f>-153000-153000-153000-153000</f>
        <v>-612000</v>
      </c>
      <c r="AP29" s="82">
        <f t="shared" si="7"/>
        <v>0</v>
      </c>
      <c r="AQ29" s="82"/>
      <c r="AR29" s="82">
        <f>153000+153000+153000</f>
        <v>459000</v>
      </c>
      <c r="AV29">
        <f>-153000-153000-153000</f>
        <v>-459000</v>
      </c>
      <c r="AW29" s="82">
        <f t="shared" si="8"/>
        <v>0</v>
      </c>
      <c r="AX29" s="82"/>
      <c r="AY29" s="82">
        <f>153000+153000</f>
        <v>306000</v>
      </c>
      <c r="BC29">
        <f>-153000-153000</f>
        <v>-306000</v>
      </c>
      <c r="BD29" s="82">
        <f t="shared" si="9"/>
        <v>0</v>
      </c>
      <c r="BE29" s="82"/>
      <c r="BF29" s="82">
        <v>153000</v>
      </c>
      <c r="BJ29">
        <v>-153000</v>
      </c>
      <c r="BK29" s="82">
        <f t="shared" si="10"/>
        <v>0</v>
      </c>
      <c r="BL29" s="82"/>
      <c r="BM29" s="82">
        <v>612000</v>
      </c>
      <c r="BQ29">
        <v>-612000</v>
      </c>
      <c r="BR29" s="82">
        <f t="shared" si="11"/>
        <v>0</v>
      </c>
      <c r="BS29" s="82"/>
      <c r="BT29" s="82">
        <v>459000</v>
      </c>
      <c r="BX29">
        <v>-459000</v>
      </c>
      <c r="BY29" s="82">
        <f t="shared" si="12"/>
        <v>0</v>
      </c>
      <c r="BZ29" s="82"/>
      <c r="CA29" s="82">
        <v>306000</v>
      </c>
      <c r="CE29">
        <v>-306000</v>
      </c>
      <c r="CF29" s="82">
        <f t="shared" si="13"/>
        <v>0</v>
      </c>
      <c r="CG29" s="82"/>
      <c r="CH29" s="82">
        <v>153000</v>
      </c>
      <c r="CL29">
        <f>-153000*1</f>
        <v>-153000</v>
      </c>
      <c r="CM29" s="82">
        <f t="shared" si="14"/>
        <v>0</v>
      </c>
      <c r="CN29" s="82"/>
      <c r="CO29" s="82">
        <v>0</v>
      </c>
      <c r="CS29">
        <f>-153000*0</f>
        <v>0</v>
      </c>
      <c r="CT29" s="82">
        <f t="shared" si="15"/>
        <v>0</v>
      </c>
      <c r="CU29" s="82"/>
      <c r="CV29" s="82">
        <f>153000*1</f>
        <v>153000</v>
      </c>
      <c r="CZ29">
        <f>-153000*1</f>
        <v>-153000</v>
      </c>
      <c r="DA29" s="82">
        <f t="shared" si="16"/>
        <v>0</v>
      </c>
      <c r="DB29" s="82"/>
      <c r="DC29" s="82">
        <f>153000*1</f>
        <v>153000</v>
      </c>
      <c r="DG29">
        <f>-153000*1</f>
        <v>-153000</v>
      </c>
      <c r="DH29" s="82">
        <f t="shared" si="17"/>
        <v>0</v>
      </c>
      <c r="DI29" s="82"/>
      <c r="DJ29" s="82">
        <f>153000*1</f>
        <v>153000</v>
      </c>
      <c r="DN29">
        <f>-153000*4</f>
        <v>-612000</v>
      </c>
      <c r="DO29" s="82">
        <f t="shared" si="18"/>
        <v>-459000</v>
      </c>
      <c r="DP29" s="82"/>
      <c r="DQ29" s="82">
        <f>153000*1</f>
        <v>153000</v>
      </c>
      <c r="DU29">
        <f>-153000*4</f>
        <v>-612000</v>
      </c>
      <c r="DV29" s="82">
        <f t="shared" si="19"/>
        <v>-459000</v>
      </c>
      <c r="DW29" s="82"/>
      <c r="DX29" s="82">
        <f>153000*4</f>
        <v>612000</v>
      </c>
      <c r="EB29">
        <f>-153000*4</f>
        <v>-612000</v>
      </c>
      <c r="EC29" s="82">
        <f t="shared" si="20"/>
        <v>0</v>
      </c>
      <c r="ED29" s="82"/>
      <c r="EE29" s="82">
        <f>153000*3</f>
        <v>459000</v>
      </c>
      <c r="EI29">
        <f>-153000*3</f>
        <v>-459000</v>
      </c>
      <c r="EJ29" s="82">
        <f t="shared" si="21"/>
        <v>0</v>
      </c>
      <c r="EK29" s="82"/>
      <c r="EL29" s="82">
        <f>153000*2</f>
        <v>306000</v>
      </c>
      <c r="EP29">
        <f>-153000*2</f>
        <v>-306000</v>
      </c>
      <c r="EQ29" s="82">
        <f t="shared" si="22"/>
        <v>0</v>
      </c>
      <c r="ER29" s="82"/>
      <c r="ES29" s="82">
        <f>153000*1</f>
        <v>153000</v>
      </c>
      <c r="EW29">
        <f>-153000*1</f>
        <v>-153000</v>
      </c>
      <c r="EX29" s="82">
        <f t="shared" si="23"/>
        <v>0</v>
      </c>
      <c r="EY29" s="82"/>
      <c r="EZ29" s="82">
        <f>153000*4</f>
        <v>612000</v>
      </c>
      <c r="FD29">
        <f>-153000*4</f>
        <v>-612000</v>
      </c>
      <c r="FE29" s="82">
        <f t="shared" si="24"/>
        <v>0</v>
      </c>
      <c r="FF29" s="82"/>
      <c r="FG29" s="82">
        <f>153000*3</f>
        <v>459000</v>
      </c>
      <c r="FK29">
        <f>-153000*3</f>
        <v>-459000</v>
      </c>
      <c r="FL29" s="82">
        <f t="shared" si="25"/>
        <v>0</v>
      </c>
      <c r="FM29" s="82"/>
      <c r="FN29" s="82">
        <f>153000*2</f>
        <v>306000</v>
      </c>
      <c r="FR29">
        <f>-153000*2</f>
        <v>-306000</v>
      </c>
      <c r="FS29" s="82">
        <f>SUM(FN29:FR29)</f>
        <v>0</v>
      </c>
      <c r="FT29" s="82"/>
      <c r="FU29" s="82">
        <f>153000*1</f>
        <v>153000</v>
      </c>
      <c r="FY29">
        <f>-153000*1</f>
        <v>-153000</v>
      </c>
      <c r="FZ29" s="82">
        <f>SUM(FU29:FY29)</f>
        <v>0</v>
      </c>
      <c r="GB29" s="82">
        <f>153000*4</f>
        <v>612000</v>
      </c>
      <c r="GF29">
        <f>-153000*4</f>
        <v>-612000</v>
      </c>
      <c r="GG29" s="82">
        <f>SUM(GB29:GF29)</f>
        <v>0</v>
      </c>
      <c r="GI29" s="82">
        <f>153000*3</f>
        <v>459000</v>
      </c>
      <c r="GM29">
        <f>-153000*3</f>
        <v>-459000</v>
      </c>
      <c r="GN29" s="82">
        <f>SUM(GI29:GM29)</f>
        <v>0</v>
      </c>
      <c r="GP29" s="82">
        <f>153000*2</f>
        <v>306000</v>
      </c>
      <c r="GT29">
        <v>-153000</v>
      </c>
      <c r="GU29" s="82">
        <f>SUM(GP29:GT29)</f>
        <v>153000</v>
      </c>
      <c r="GW29" s="82">
        <v>153000</v>
      </c>
      <c r="HA29">
        <v>-153000</v>
      </c>
      <c r="HB29" s="82">
        <f>SUM(GW29:HA29)</f>
        <v>0</v>
      </c>
    </row>
    <row r="30" spans="1:211" ht="12.75" customHeight="1">
      <c r="A30" t="s">
        <v>514</v>
      </c>
      <c r="B30" s="82"/>
      <c r="G30" s="82">
        <f t="shared" si="2"/>
        <v>0</v>
      </c>
      <c r="I30" s="82"/>
      <c r="N30" s="82">
        <f t="shared" si="3"/>
        <v>0</v>
      </c>
      <c r="P30" s="82"/>
      <c r="U30" s="82">
        <f t="shared" si="4"/>
        <v>0</v>
      </c>
      <c r="W30" s="82"/>
      <c r="AB30" s="82">
        <f t="shared" si="5"/>
        <v>0</v>
      </c>
      <c r="AC30" s="82"/>
      <c r="AD30" s="82"/>
      <c r="AI30" s="82">
        <f t="shared" si="6"/>
        <v>0</v>
      </c>
      <c r="AJ30" s="82"/>
      <c r="AK30" s="82"/>
      <c r="AP30" s="82">
        <f t="shared" si="7"/>
        <v>0</v>
      </c>
      <c r="AQ30" s="82"/>
      <c r="AR30" s="82"/>
      <c r="AW30" s="82">
        <f t="shared" si="8"/>
        <v>0</v>
      </c>
      <c r="AX30" s="82"/>
      <c r="AY30" s="82"/>
      <c r="BD30" s="82">
        <f t="shared" si="9"/>
        <v>0</v>
      </c>
      <c r="BE30" s="82"/>
      <c r="BF30" s="82"/>
      <c r="BK30" s="82">
        <f t="shared" si="10"/>
        <v>0</v>
      </c>
      <c r="BL30" s="82"/>
      <c r="BM30" s="82"/>
      <c r="BR30" s="82">
        <f t="shared" si="11"/>
        <v>0</v>
      </c>
      <c r="BS30" s="82"/>
      <c r="BT30" s="82"/>
      <c r="BY30" s="82">
        <f t="shared" si="12"/>
        <v>0</v>
      </c>
      <c r="BZ30" s="82"/>
      <c r="CA30" s="82"/>
      <c r="CF30" s="82">
        <f t="shared" si="13"/>
        <v>0</v>
      </c>
      <c r="CG30" s="82"/>
      <c r="CH30" s="82"/>
      <c r="CM30" s="82">
        <f t="shared" si="14"/>
        <v>0</v>
      </c>
      <c r="CN30" s="82"/>
      <c r="CO30" s="82"/>
      <c r="CT30" s="82">
        <f t="shared" si="15"/>
        <v>0</v>
      </c>
      <c r="CU30" s="82"/>
      <c r="CV30" s="82"/>
      <c r="DA30" s="82">
        <f t="shared" si="16"/>
        <v>0</v>
      </c>
      <c r="DB30" s="82"/>
      <c r="DC30" s="82"/>
      <c r="DH30" s="82">
        <f t="shared" si="17"/>
        <v>0</v>
      </c>
      <c r="DI30" s="82"/>
      <c r="DJ30" s="82"/>
      <c r="DO30" s="82">
        <f t="shared" si="18"/>
        <v>0</v>
      </c>
      <c r="DP30" s="82"/>
      <c r="DQ30" s="82"/>
      <c r="DV30" s="82">
        <f t="shared" si="19"/>
        <v>0</v>
      </c>
      <c r="DW30" s="82"/>
      <c r="DX30" s="82"/>
      <c r="EC30" s="82">
        <f t="shared" si="20"/>
        <v>0</v>
      </c>
      <c r="ED30" s="82"/>
      <c r="EE30" s="82"/>
      <c r="EJ30" s="82">
        <f t="shared" si="21"/>
        <v>0</v>
      </c>
      <c r="EK30" s="82"/>
      <c r="EL30" s="82"/>
      <c r="EQ30" s="82">
        <f t="shared" si="22"/>
        <v>0</v>
      </c>
      <c r="ER30" s="82"/>
      <c r="ES30" s="82"/>
      <c r="EX30" s="82">
        <f t="shared" si="23"/>
        <v>0</v>
      </c>
      <c r="EY30" s="82"/>
      <c r="EZ30" s="82">
        <v>0</v>
      </c>
      <c r="FE30" s="82">
        <f t="shared" si="24"/>
        <v>0</v>
      </c>
      <c r="FF30" s="82"/>
      <c r="FG30" s="82">
        <v>0</v>
      </c>
      <c r="FL30" s="82">
        <f t="shared" si="25"/>
        <v>0</v>
      </c>
      <c r="FM30" s="82"/>
      <c r="FN30" s="82">
        <v>0</v>
      </c>
      <c r="FS30" s="82">
        <f>SUM(FN30:FR30)</f>
        <v>0</v>
      </c>
      <c r="FT30" s="82"/>
      <c r="FU30" s="82">
        <v>0</v>
      </c>
      <c r="FZ30" s="82">
        <f>SUM(FU30:FY30)</f>
        <v>0</v>
      </c>
      <c r="GB30" s="82">
        <v>-31080</v>
      </c>
      <c r="GG30" s="82">
        <f>SUM(GB30:GF30)</f>
        <v>-31080</v>
      </c>
      <c r="GI30" s="82"/>
      <c r="GN30" s="82"/>
      <c r="GP30" s="82"/>
      <c r="GU30" s="82"/>
      <c r="GW30" s="82"/>
      <c r="HB30" s="82"/>
    </row>
    <row r="31" spans="1:211" ht="12.75" customHeight="1">
      <c r="A31" t="s">
        <v>506</v>
      </c>
      <c r="B31" s="81">
        <f>-SUMPRODUCT((Alcom!$B$3:$B$2399="Disposal Income")*(MONTH(date)&lt;=MONTH('ANSC-TB'!$G$5)),(Alcom!$K$3:$V$2399))</f>
        <v>22531</v>
      </c>
      <c r="C31" s="81">
        <f>-SUMPRODUCT((ANSC!$B$3:$B$2399="Disposal Income")*(MONTH(date)&lt;=MONTH('ANSC-TB'!$G$5)),(ANSC!$K$3:$V$2399))</f>
        <v>0</v>
      </c>
      <c r="G31" s="82">
        <f t="shared" si="2"/>
        <v>22531</v>
      </c>
      <c r="I31" s="81">
        <v>9750</v>
      </c>
      <c r="J31" s="81">
        <v>16500</v>
      </c>
      <c r="N31" s="82">
        <f t="shared" si="3"/>
        <v>26250</v>
      </c>
      <c r="P31" s="81">
        <v>9750</v>
      </c>
      <c r="Q31" s="81">
        <v>16500</v>
      </c>
      <c r="U31" s="82">
        <f t="shared" si="4"/>
        <v>26250</v>
      </c>
      <c r="W31" s="81">
        <v>9750</v>
      </c>
      <c r="X31" s="81">
        <v>16500</v>
      </c>
      <c r="AB31" s="82">
        <f t="shared" si="5"/>
        <v>26250</v>
      </c>
      <c r="AD31" s="53">
        <v>9550</v>
      </c>
      <c r="AE31" s="53">
        <v>16500</v>
      </c>
      <c r="AI31" s="82">
        <f t="shared" si="6"/>
        <v>26050</v>
      </c>
      <c r="AK31" s="53">
        <f>2940</f>
        <v>2940</v>
      </c>
      <c r="AL31" s="53">
        <v>720</v>
      </c>
      <c r="AP31" s="82">
        <f t="shared" si="7"/>
        <v>3660</v>
      </c>
      <c r="AR31" s="53">
        <f>2940</f>
        <v>2940</v>
      </c>
      <c r="AS31" s="53">
        <v>720</v>
      </c>
      <c r="AW31" s="82">
        <f t="shared" si="8"/>
        <v>3660</v>
      </c>
      <c r="AY31" s="53">
        <f>2940</f>
        <v>2940</v>
      </c>
      <c r="AZ31" s="53">
        <v>720</v>
      </c>
      <c r="BD31" s="82">
        <f t="shared" si="9"/>
        <v>3660</v>
      </c>
      <c r="BF31" s="53"/>
      <c r="BG31" s="53"/>
      <c r="BK31" s="82">
        <f t="shared" si="10"/>
        <v>0</v>
      </c>
      <c r="BM31" s="53">
        <v>73550</v>
      </c>
      <c r="BN31" s="53"/>
      <c r="BR31" s="82">
        <f t="shared" si="11"/>
        <v>73550</v>
      </c>
      <c r="BT31" s="53">
        <f>36200+19350</f>
        <v>55550</v>
      </c>
      <c r="BU31" s="53"/>
      <c r="BY31" s="82">
        <f t="shared" si="12"/>
        <v>55550</v>
      </c>
      <c r="CA31" s="53">
        <f>36200+14300</f>
        <v>50500</v>
      </c>
      <c r="CB31" s="53"/>
      <c r="CF31" s="82">
        <f t="shared" si="13"/>
        <v>50500</v>
      </c>
      <c r="CH31" s="53">
        <f>36200+14300</f>
        <v>50500</v>
      </c>
      <c r="CI31" s="53"/>
      <c r="CM31" s="82">
        <f t="shared" si="14"/>
        <v>50500</v>
      </c>
      <c r="CO31" s="53">
        <v>7348.32</v>
      </c>
      <c r="CP31" s="53"/>
      <c r="CT31" s="82">
        <f t="shared" si="15"/>
        <v>7348.32</v>
      </c>
      <c r="CV31" s="53">
        <f>31726.35+24750</f>
        <v>56476.35</v>
      </c>
      <c r="CW31" s="53"/>
      <c r="DA31" s="82">
        <f t="shared" si="16"/>
        <v>56476.35</v>
      </c>
      <c r="DC31" s="53">
        <f>11200+24750</f>
        <v>35950</v>
      </c>
      <c r="DD31" s="53"/>
      <c r="DH31" s="82">
        <f t="shared" si="17"/>
        <v>35950</v>
      </c>
      <c r="DJ31" s="53">
        <v>0</v>
      </c>
      <c r="DK31" s="53"/>
      <c r="DO31" s="82">
        <f t="shared" si="18"/>
        <v>0</v>
      </c>
      <c r="DQ31" s="53">
        <v>0</v>
      </c>
      <c r="DR31" s="53"/>
      <c r="DV31" s="82">
        <f t="shared" si="19"/>
        <v>0</v>
      </c>
      <c r="DX31" s="53">
        <v>39392.53</v>
      </c>
      <c r="DY31" s="53"/>
      <c r="EC31" s="82">
        <f t="shared" si="20"/>
        <v>39392.53</v>
      </c>
      <c r="EE31" s="53">
        <v>39392.53</v>
      </c>
      <c r="EF31" s="53"/>
      <c r="EJ31" s="82">
        <f t="shared" si="21"/>
        <v>39392.53</v>
      </c>
      <c r="EL31" s="53">
        <v>39392.53</v>
      </c>
      <c r="EM31" s="53"/>
      <c r="EQ31" s="82">
        <f t="shared" si="22"/>
        <v>39392.53</v>
      </c>
      <c r="ES31" s="53"/>
      <c r="ET31" s="53"/>
      <c r="EX31" s="82">
        <f t="shared" si="23"/>
        <v>0</v>
      </c>
      <c r="EZ31" s="269">
        <f>137672.2+166700</f>
        <v>304372.2</v>
      </c>
      <c r="FA31" s="53">
        <v>44000</v>
      </c>
      <c r="FE31" s="82">
        <f t="shared" si="24"/>
        <v>348372.2</v>
      </c>
      <c r="FG31" s="269">
        <f>29672.2+138700</f>
        <v>168372.2</v>
      </c>
      <c r="FH31" s="53">
        <v>44000</v>
      </c>
      <c r="FL31" s="82">
        <f t="shared" si="25"/>
        <v>212372.2</v>
      </c>
      <c r="FN31" s="269">
        <f>29672.2+138700</f>
        <v>168372.2</v>
      </c>
      <c r="FO31" s="53">
        <v>44000</v>
      </c>
      <c r="FS31">
        <f t="shared" ref="FS31:FS41" si="26">SUM(FN31:FQ31)</f>
        <v>212372.2</v>
      </c>
      <c r="FU31" s="269">
        <f>29672.2+88700</f>
        <v>118372.2</v>
      </c>
      <c r="FZ31">
        <f t="shared" ref="FZ31:FZ41" si="27">SUM(FU31:FX31)</f>
        <v>118372.2</v>
      </c>
      <c r="GB31" s="269">
        <f>62889.1-9986+24266263.07</f>
        <v>24319166.170000002</v>
      </c>
      <c r="GG31">
        <f t="shared" ref="GG31:GG41" si="28">SUM(GB31:GE31)</f>
        <v>24319166.170000002</v>
      </c>
      <c r="GI31" s="269">
        <f>62889.1-9986+24266263.07</f>
        <v>24319166.170000002</v>
      </c>
      <c r="GN31">
        <f t="shared" ref="GN31:GN41" si="29">SUM(GI31:GL31)</f>
        <v>24319166.170000002</v>
      </c>
      <c r="GP31" s="82">
        <v>-22110.9</v>
      </c>
      <c r="GU31">
        <f t="shared" ref="GU31:GU41" si="30">SUM(GP31:GS31)</f>
        <v>-22110.9</v>
      </c>
      <c r="GW31" s="82"/>
      <c r="HB31">
        <f t="shared" ref="HB31:HB41" si="31">SUM(GW31:GZ31)</f>
        <v>0</v>
      </c>
    </row>
    <row r="32" spans="1:211" ht="12.75" customHeight="1">
      <c r="A32" t="s">
        <v>507</v>
      </c>
      <c r="B32" s="82"/>
      <c r="C32" s="53"/>
      <c r="G32" s="82">
        <f t="shared" si="2"/>
        <v>0</v>
      </c>
      <c r="I32" s="82"/>
      <c r="J32" s="53"/>
      <c r="N32" s="82">
        <f t="shared" si="3"/>
        <v>0</v>
      </c>
      <c r="P32" s="82"/>
      <c r="Q32" s="53"/>
      <c r="U32" s="82">
        <f t="shared" si="4"/>
        <v>0</v>
      </c>
      <c r="W32" s="82"/>
      <c r="X32" s="53"/>
      <c r="AB32" s="82">
        <f t="shared" si="5"/>
        <v>0</v>
      </c>
      <c r="AD32" s="82"/>
      <c r="AE32" s="53"/>
      <c r="AI32" s="82">
        <f t="shared" si="6"/>
        <v>0</v>
      </c>
      <c r="AK32" s="82"/>
      <c r="AL32" s="53"/>
      <c r="AP32" s="82">
        <f t="shared" si="7"/>
        <v>0</v>
      </c>
      <c r="AR32" s="82"/>
      <c r="AS32" s="53"/>
      <c r="AW32" s="82">
        <f t="shared" si="8"/>
        <v>0</v>
      </c>
      <c r="AY32" s="82"/>
      <c r="AZ32" s="53"/>
      <c r="BD32" s="82">
        <f t="shared" si="9"/>
        <v>0</v>
      </c>
      <c r="BF32" s="82"/>
      <c r="BG32" s="53"/>
      <c r="BK32" s="82">
        <f t="shared" si="10"/>
        <v>0</v>
      </c>
      <c r="BM32" s="82"/>
      <c r="BN32" s="53"/>
      <c r="BR32" s="82">
        <f t="shared" si="11"/>
        <v>0</v>
      </c>
      <c r="BT32" s="82"/>
      <c r="BU32" s="53"/>
      <c r="BY32" s="82">
        <f t="shared" si="12"/>
        <v>0</v>
      </c>
      <c r="CA32" s="82"/>
      <c r="CB32" s="53"/>
      <c r="CF32" s="82">
        <f t="shared" si="13"/>
        <v>0</v>
      </c>
      <c r="CH32" s="82"/>
      <c r="CI32" s="53"/>
      <c r="CM32" s="82">
        <f t="shared" si="14"/>
        <v>0</v>
      </c>
      <c r="CO32" s="82"/>
      <c r="CP32" s="53"/>
      <c r="CT32" s="82">
        <f t="shared" si="15"/>
        <v>0</v>
      </c>
      <c r="CV32" s="82"/>
      <c r="CW32" s="53"/>
      <c r="DA32" s="82">
        <f t="shared" si="16"/>
        <v>0</v>
      </c>
      <c r="DC32" s="82"/>
      <c r="DD32" s="53"/>
      <c r="DH32" s="82">
        <f t="shared" si="17"/>
        <v>0</v>
      </c>
      <c r="DJ32" s="82"/>
      <c r="DK32" s="53"/>
      <c r="DO32" s="82">
        <f t="shared" si="18"/>
        <v>0</v>
      </c>
      <c r="DQ32" s="82"/>
      <c r="DR32" s="53"/>
      <c r="DV32" s="82">
        <f t="shared" si="19"/>
        <v>0</v>
      </c>
      <c r="DX32" s="82"/>
      <c r="DY32" s="53"/>
      <c r="EC32" s="82">
        <f t="shared" si="20"/>
        <v>0</v>
      </c>
      <c r="EE32" s="82"/>
      <c r="EF32" s="53"/>
      <c r="EJ32" s="82">
        <f t="shared" si="21"/>
        <v>0</v>
      </c>
      <c r="EL32" s="82"/>
      <c r="EM32" s="53"/>
      <c r="EQ32" s="82">
        <f t="shared" si="22"/>
        <v>0</v>
      </c>
      <c r="ES32" s="82"/>
      <c r="ET32" s="53"/>
      <c r="EX32" s="82">
        <f t="shared" si="23"/>
        <v>0</v>
      </c>
      <c r="EZ32" s="82"/>
      <c r="FE32" s="82">
        <f t="shared" si="24"/>
        <v>0</v>
      </c>
      <c r="FG32" s="82"/>
      <c r="FL32" s="82">
        <f t="shared" si="25"/>
        <v>0</v>
      </c>
      <c r="FN32" s="82"/>
      <c r="FS32">
        <f t="shared" si="26"/>
        <v>0</v>
      </c>
      <c r="FU32" s="82"/>
      <c r="FZ32">
        <f t="shared" si="27"/>
        <v>0</v>
      </c>
      <c r="GB32" s="82"/>
      <c r="GG32">
        <f t="shared" si="28"/>
        <v>0</v>
      </c>
      <c r="GI32" s="82"/>
      <c r="GN32">
        <f t="shared" si="29"/>
        <v>0</v>
      </c>
      <c r="GP32" s="82"/>
      <c r="GU32">
        <f t="shared" si="30"/>
        <v>0</v>
      </c>
      <c r="GW32" s="82"/>
      <c r="HB32">
        <f t="shared" si="31"/>
        <v>0</v>
      </c>
    </row>
    <row r="33" spans="1:211" ht="12.75" customHeight="1">
      <c r="A33" s="273" t="s">
        <v>642</v>
      </c>
      <c r="B33" s="275"/>
      <c r="C33" s="273"/>
      <c r="D33" s="273"/>
      <c r="E33" s="273"/>
      <c r="F33" s="273"/>
      <c r="G33" s="82">
        <f t="shared" si="2"/>
        <v>0</v>
      </c>
      <c r="H33" s="273"/>
      <c r="I33" s="275"/>
      <c r="J33" s="273"/>
      <c r="K33" s="273"/>
      <c r="L33" s="273"/>
      <c r="M33" s="273"/>
      <c r="N33" s="82">
        <f t="shared" si="3"/>
        <v>0</v>
      </c>
      <c r="O33" s="273"/>
      <c r="P33" s="275"/>
      <c r="Q33" s="273"/>
      <c r="R33" s="273"/>
      <c r="S33" s="273"/>
      <c r="T33" s="273"/>
      <c r="U33" s="82">
        <f t="shared" si="4"/>
        <v>0</v>
      </c>
      <c r="V33" s="273"/>
      <c r="W33" s="275"/>
      <c r="X33" s="273"/>
      <c r="Y33" s="273"/>
      <c r="Z33" s="273"/>
      <c r="AA33" s="273"/>
      <c r="AB33" s="82">
        <f t="shared" si="5"/>
        <v>0</v>
      </c>
      <c r="AD33" s="275"/>
      <c r="AE33" s="273"/>
      <c r="AF33" s="273"/>
      <c r="AG33" s="273"/>
      <c r="AH33" s="273"/>
      <c r="AI33" s="82">
        <f t="shared" si="6"/>
        <v>0</v>
      </c>
      <c r="AK33" s="275"/>
      <c r="AL33" s="273"/>
      <c r="AM33" s="273"/>
      <c r="AN33" s="273"/>
      <c r="AO33" s="273"/>
      <c r="AP33" s="82">
        <f t="shared" si="7"/>
        <v>0</v>
      </c>
      <c r="AR33" s="275"/>
      <c r="AS33" s="273"/>
      <c r="AT33" s="273"/>
      <c r="AU33" s="273"/>
      <c r="AV33" s="273"/>
      <c r="AW33" s="82">
        <f t="shared" si="8"/>
        <v>0</v>
      </c>
      <c r="AY33" s="275"/>
      <c r="AZ33" s="273"/>
      <c r="BA33" s="273"/>
      <c r="BB33" s="273"/>
      <c r="BC33" s="273"/>
      <c r="BD33" s="82">
        <f t="shared" si="9"/>
        <v>0</v>
      </c>
      <c r="BF33" s="275"/>
      <c r="BG33" s="273"/>
      <c r="BH33" s="273"/>
      <c r="BI33" s="273"/>
      <c r="BJ33" s="273"/>
      <c r="BK33" s="82">
        <f t="shared" si="10"/>
        <v>0</v>
      </c>
      <c r="BM33" s="275"/>
      <c r="BN33" s="273"/>
      <c r="BO33" s="273"/>
      <c r="BP33" s="273"/>
      <c r="BQ33" s="273"/>
      <c r="BR33" s="82">
        <f t="shared" si="11"/>
        <v>0</v>
      </c>
      <c r="BT33" s="275"/>
      <c r="BU33" s="273"/>
      <c r="BV33" s="273"/>
      <c r="BW33" s="273"/>
      <c r="BX33" s="273"/>
      <c r="BY33" s="82">
        <f t="shared" si="12"/>
        <v>0</v>
      </c>
      <c r="CA33" s="275"/>
      <c r="CB33" s="273"/>
      <c r="CC33" s="273"/>
      <c r="CD33" s="273"/>
      <c r="CE33" s="273"/>
      <c r="CF33" s="82">
        <f t="shared" si="13"/>
        <v>0</v>
      </c>
      <c r="CH33" s="275"/>
      <c r="CI33" s="273"/>
      <c r="CJ33" s="273"/>
      <c r="CK33" s="273"/>
      <c r="CL33" s="273"/>
      <c r="CM33" s="82">
        <f t="shared" si="14"/>
        <v>0</v>
      </c>
      <c r="CO33" s="275"/>
      <c r="CP33" s="273"/>
      <c r="CQ33" s="273"/>
      <c r="CR33" s="273"/>
      <c r="CS33" s="273"/>
      <c r="CT33" s="82">
        <f t="shared" si="15"/>
        <v>0</v>
      </c>
      <c r="CV33" s="275"/>
      <c r="CW33" s="273"/>
      <c r="CX33" s="273"/>
      <c r="CY33" s="273"/>
      <c r="CZ33" s="273"/>
      <c r="DA33" s="82">
        <f t="shared" si="16"/>
        <v>0</v>
      </c>
      <c r="DC33" s="275"/>
      <c r="DD33" s="273"/>
      <c r="DE33" s="273"/>
      <c r="DF33" s="273"/>
      <c r="DG33" s="273"/>
      <c r="DH33" s="82">
        <f t="shared" si="17"/>
        <v>0</v>
      </c>
      <c r="DJ33" s="275"/>
      <c r="DK33" s="273"/>
      <c r="DL33" s="273"/>
      <c r="DM33" s="273"/>
      <c r="DN33" s="273"/>
      <c r="DO33" s="82">
        <f t="shared" si="18"/>
        <v>0</v>
      </c>
      <c r="DQ33" s="275"/>
      <c r="DR33" s="273"/>
      <c r="DS33" s="273"/>
      <c r="DT33" s="273"/>
      <c r="DU33" s="273"/>
      <c r="DV33" s="82">
        <f t="shared" si="19"/>
        <v>0</v>
      </c>
      <c r="DX33" s="275"/>
      <c r="DY33" s="273"/>
      <c r="DZ33" s="273"/>
      <c r="EA33" s="273"/>
      <c r="EB33" s="273"/>
      <c r="EC33" s="82">
        <f t="shared" si="20"/>
        <v>0</v>
      </c>
      <c r="EE33" s="275"/>
      <c r="EF33" s="273"/>
      <c r="EG33" s="273"/>
      <c r="EH33" s="273"/>
      <c r="EI33" s="273"/>
      <c r="EJ33" s="82">
        <f t="shared" si="21"/>
        <v>0</v>
      </c>
      <c r="EL33" s="275"/>
      <c r="EM33" s="273"/>
      <c r="EN33" s="273"/>
      <c r="EO33" s="273"/>
      <c r="EP33" s="273"/>
      <c r="EQ33" s="82">
        <f t="shared" si="22"/>
        <v>0</v>
      </c>
      <c r="ES33" s="275"/>
      <c r="ET33" s="273"/>
      <c r="EU33" s="273"/>
      <c r="EV33" s="273"/>
      <c r="EW33" s="273"/>
      <c r="EX33" s="82">
        <f t="shared" si="23"/>
        <v>0</v>
      </c>
      <c r="EZ33" s="275">
        <v>3739.11</v>
      </c>
      <c r="FA33" s="273"/>
      <c r="FB33" s="273"/>
      <c r="FC33" s="273"/>
      <c r="FD33" s="273"/>
      <c r="FE33" s="82">
        <f t="shared" si="24"/>
        <v>3739.11</v>
      </c>
      <c r="FG33" s="275"/>
      <c r="FH33" s="273"/>
      <c r="FI33" s="273"/>
      <c r="FJ33" s="273"/>
      <c r="FK33" s="273"/>
      <c r="FL33" s="82">
        <f t="shared" si="25"/>
        <v>0</v>
      </c>
      <c r="FN33" s="275"/>
      <c r="FO33" s="273"/>
      <c r="FP33" s="273"/>
      <c r="FQ33" s="273"/>
      <c r="FR33" s="273"/>
      <c r="FS33">
        <f t="shared" si="26"/>
        <v>0</v>
      </c>
      <c r="FU33" s="275"/>
      <c r="FV33" s="273"/>
      <c r="FW33" s="273"/>
      <c r="FX33" s="273"/>
      <c r="FY33" s="273"/>
      <c r="FZ33">
        <f t="shared" si="27"/>
        <v>0</v>
      </c>
      <c r="GA33" s="273"/>
      <c r="GB33" s="275"/>
      <c r="GC33" s="273"/>
      <c r="GD33" s="273"/>
      <c r="GE33" s="273"/>
      <c r="GF33" s="273"/>
      <c r="GG33">
        <f t="shared" si="28"/>
        <v>0</v>
      </c>
      <c r="GH33" s="273"/>
      <c r="GI33" s="275"/>
      <c r="GJ33" s="273"/>
      <c r="GK33" s="273"/>
      <c r="GL33" s="273"/>
      <c r="GM33" s="273"/>
      <c r="GN33">
        <f t="shared" si="29"/>
        <v>0</v>
      </c>
      <c r="GO33" s="273"/>
      <c r="GP33" s="275"/>
      <c r="GQ33" s="273"/>
      <c r="GR33" s="273"/>
      <c r="GS33" s="273"/>
      <c r="GT33" s="273"/>
      <c r="GU33">
        <f t="shared" si="30"/>
        <v>0</v>
      </c>
      <c r="GV33" s="273"/>
      <c r="GW33" s="275"/>
      <c r="GX33" s="273"/>
      <c r="GY33" s="273"/>
      <c r="GZ33" s="273"/>
      <c r="HA33" s="273"/>
      <c r="HB33">
        <f t="shared" si="31"/>
        <v>0</v>
      </c>
      <c r="HC33" s="273"/>
    </row>
    <row r="34" spans="1:211" s="280" customFormat="1" ht="12.75" customHeight="1">
      <c r="A34" s="280" t="s">
        <v>503</v>
      </c>
      <c r="B34" s="81">
        <f>-SUMPRODUCT((Alcom!$B$3:$B$2399="interest income")*(MONTH(date)&lt;=MONTH('ANSC-TB'!$G$5)),(Alcom!$K$3:$V$2399))</f>
        <v>111328.47</v>
      </c>
      <c r="C34" s="81">
        <f>-SUMPRODUCT((ANSC!$B$3:$B$2399="interest income")*(MONTH(date)&lt;=MONTH('ANSC-TB'!$G$5)),(ANSC!$K$3:$V$2399))-C36</f>
        <v>127140.36</v>
      </c>
      <c r="G34" s="246">
        <f t="shared" ref="G34:G41" si="32">SUM(B34:F34)</f>
        <v>238468.83000000002</v>
      </c>
      <c r="I34" s="574">
        <v>478763</v>
      </c>
      <c r="J34" s="574">
        <v>425955.33</v>
      </c>
      <c r="K34" s="575"/>
      <c r="L34" s="575"/>
      <c r="M34" s="575"/>
      <c r="N34" s="576">
        <f t="shared" ref="N34:N41" si="33">SUM(I34:M34)</f>
        <v>904718.33000000007</v>
      </c>
      <c r="O34" s="575"/>
      <c r="P34" s="574">
        <v>382190.51</v>
      </c>
      <c r="Q34" s="574">
        <v>314297.06</v>
      </c>
      <c r="R34" s="575"/>
      <c r="U34" s="246">
        <f t="shared" ref="U34:U41" si="34">SUM(P34:T34)</f>
        <v>696487.57000000007</v>
      </c>
      <c r="W34" s="574">
        <v>267960.55</v>
      </c>
      <c r="X34" s="574">
        <v>202029.69</v>
      </c>
      <c r="AB34" s="246">
        <f t="shared" ref="AB34:AB41" si="35">SUM(W34:AA34)</f>
        <v>469990.24</v>
      </c>
      <c r="AD34" s="246">
        <f>63118.04+60247.16</f>
        <v>123365.20000000001</v>
      </c>
      <c r="AE34" s="246">
        <f>91918.1-AE36</f>
        <v>91706.3</v>
      </c>
      <c r="AI34" s="246">
        <f t="shared" ref="AI34:AI41" si="36">SUM(AD34:AH34)</f>
        <v>215071.5</v>
      </c>
      <c r="AK34" s="246">
        <v>531777.78</v>
      </c>
      <c r="AL34" s="246">
        <v>282346.65999999997</v>
      </c>
      <c r="AP34" s="246">
        <f t="shared" ref="AP34:AP41" si="37">SUM(AK34:AO34)</f>
        <v>814124.44</v>
      </c>
      <c r="AR34" s="246">
        <f>328841.08+101536.21</f>
        <v>430377.29000000004</v>
      </c>
      <c r="AS34" s="246">
        <f>205378.78-AS36</f>
        <v>204108.94</v>
      </c>
      <c r="AW34" s="246">
        <f t="shared" si="8"/>
        <v>634486.23</v>
      </c>
      <c r="AY34" s="246">
        <f>254700.33+85197.65</f>
        <v>339897.98</v>
      </c>
      <c r="AZ34" s="246">
        <f>123286.28-AZ36</f>
        <v>122439.56</v>
      </c>
      <c r="BD34" s="246">
        <f t="shared" si="9"/>
        <v>462337.54</v>
      </c>
      <c r="BF34" s="246">
        <f>161332.75+40755.33</f>
        <v>202088.08000000002</v>
      </c>
      <c r="BG34" s="246">
        <f>48537.16-BG36</f>
        <v>48113.8</v>
      </c>
      <c r="BK34" s="246">
        <f t="shared" si="10"/>
        <v>250201.88</v>
      </c>
      <c r="BM34" s="246">
        <v>914441.99</v>
      </c>
      <c r="BN34" s="246">
        <v>321801.96999999997</v>
      </c>
      <c r="BR34" s="246">
        <f t="shared" ref="BR34:BR41" si="38">SUM(BM34:BQ34)</f>
        <v>1236243.96</v>
      </c>
      <c r="BT34" s="246">
        <f>549365.46+94143.82</f>
        <v>643509.28</v>
      </c>
      <c r="BU34" s="246">
        <v>270962.8</v>
      </c>
      <c r="BY34" s="246">
        <f t="shared" ref="BY34:BY41" si="39">SUM(BT34:BX34)</f>
        <v>914472.08000000007</v>
      </c>
      <c r="CA34" s="246">
        <f>359877.97+75439.32</f>
        <v>435317.29</v>
      </c>
      <c r="CB34" s="246">
        <v>182154.29</v>
      </c>
      <c r="CF34" s="246">
        <f t="shared" ref="CF34:CF41" si="40">SUM(CA34:CE34)</f>
        <v>617471.57999999996</v>
      </c>
      <c r="CH34" s="246">
        <f>229622.98+9390.71</f>
        <v>239013.69</v>
      </c>
      <c r="CI34" s="246">
        <v>85199.01</v>
      </c>
      <c r="CM34" s="246">
        <f t="shared" ref="CM34:CM41" si="41">SUM(CH34:CL34)</f>
        <v>324212.7</v>
      </c>
      <c r="CO34" s="246">
        <f>289742.92+28044.38</f>
        <v>317787.3</v>
      </c>
      <c r="CP34" s="246">
        <v>91583.61</v>
      </c>
      <c r="CT34" s="246">
        <f t="shared" si="15"/>
        <v>409370.91</v>
      </c>
      <c r="CV34" s="246">
        <f>665627.12+33591.16</f>
        <v>699218.28</v>
      </c>
      <c r="CW34" s="246">
        <f>251649.52+4126.29</f>
        <v>255775.81</v>
      </c>
      <c r="DA34" s="246">
        <f t="shared" si="16"/>
        <v>954994.09000000008</v>
      </c>
      <c r="DC34" s="246">
        <v>396424.43</v>
      </c>
      <c r="DD34" s="246">
        <f>162064.62+4126.29</f>
        <v>166190.91</v>
      </c>
      <c r="DH34" s="246">
        <f t="shared" si="17"/>
        <v>562615.34</v>
      </c>
      <c r="DJ34" s="246">
        <v>204176.18</v>
      </c>
      <c r="DK34" s="246">
        <v>95712.61</v>
      </c>
      <c r="DO34" s="246">
        <f t="shared" si="18"/>
        <v>299888.78999999998</v>
      </c>
      <c r="DQ34" s="246">
        <v>78077.31</v>
      </c>
      <c r="DR34" s="246">
        <v>51941.98</v>
      </c>
      <c r="DV34" s="246">
        <f t="shared" si="19"/>
        <v>130019.29000000001</v>
      </c>
      <c r="DX34" s="246">
        <v>451180.55</v>
      </c>
      <c r="DY34" s="246">
        <v>299593.71999999997</v>
      </c>
      <c r="EC34" s="246">
        <f t="shared" si="20"/>
        <v>750774.27</v>
      </c>
      <c r="EE34" s="246">
        <v>344710.63</v>
      </c>
      <c r="EF34" s="246">
        <v>169868.13</v>
      </c>
      <c r="EJ34" s="246">
        <f t="shared" si="21"/>
        <v>514578.76</v>
      </c>
      <c r="EL34" s="246">
        <v>256368.91</v>
      </c>
      <c r="EM34" s="246">
        <v>99185.47</v>
      </c>
      <c r="EQ34" s="246">
        <f t="shared" si="22"/>
        <v>355554.38</v>
      </c>
      <c r="ES34" s="246">
        <v>166841.73000000001</v>
      </c>
      <c r="ET34" s="246">
        <v>62549.35</v>
      </c>
      <c r="EX34" s="246">
        <f t="shared" si="23"/>
        <v>229391.08000000002</v>
      </c>
      <c r="EZ34" s="246">
        <v>1409812.42</v>
      </c>
      <c r="FA34" s="246">
        <v>248226.28</v>
      </c>
      <c r="FE34" s="246">
        <f t="shared" si="24"/>
        <v>1658038.7</v>
      </c>
      <c r="FG34" s="246">
        <v>973244.39</v>
      </c>
      <c r="FH34" s="246">
        <v>164777.57999999999</v>
      </c>
      <c r="FL34" s="246">
        <f t="shared" si="25"/>
        <v>1138021.97</v>
      </c>
      <c r="FN34" s="246">
        <v>577807.97</v>
      </c>
      <c r="FO34" s="246">
        <v>89376.33</v>
      </c>
      <c r="FS34" s="280">
        <f t="shared" si="26"/>
        <v>667184.29999999993</v>
      </c>
      <c r="FU34" s="246">
        <v>178492.41</v>
      </c>
      <c r="FV34" s="246">
        <v>29600.77</v>
      </c>
      <c r="FZ34" s="280">
        <f t="shared" si="27"/>
        <v>208093.18</v>
      </c>
      <c r="GB34" s="246">
        <v>1062478.8600000001</v>
      </c>
      <c r="GC34" s="246">
        <v>200836.98</v>
      </c>
      <c r="GG34" s="280">
        <f t="shared" si="28"/>
        <v>1263315.8400000001</v>
      </c>
      <c r="GI34" s="246">
        <v>809406.58</v>
      </c>
      <c r="GJ34" s="280">
        <v>164463.19</v>
      </c>
      <c r="GN34" s="280">
        <f t="shared" si="29"/>
        <v>973869.77</v>
      </c>
      <c r="GP34" s="246">
        <v>504506.76</v>
      </c>
      <c r="GQ34" s="280">
        <v>123009.98</v>
      </c>
      <c r="GU34" s="280">
        <f t="shared" si="30"/>
        <v>627516.74</v>
      </c>
      <c r="GW34" s="246">
        <v>235878.62</v>
      </c>
      <c r="GX34" s="280">
        <v>50268.42</v>
      </c>
      <c r="HB34" s="280">
        <f t="shared" si="31"/>
        <v>286147.03999999998</v>
      </c>
    </row>
    <row r="35" spans="1:211" ht="12.75" customHeight="1">
      <c r="A35" t="s">
        <v>509</v>
      </c>
      <c r="B35" s="81">
        <f>-SUMPRODUCT((Alcom!$B$3:$B$2399="Interest income-Customers")*(MONTH(date)&lt;=MONTH('ANSC-TB'!$G$5)),(Alcom!$K$3:$V$2399))</f>
        <v>0</v>
      </c>
      <c r="G35" s="82">
        <f t="shared" si="32"/>
        <v>0</v>
      </c>
      <c r="I35" s="81">
        <v>8086.88</v>
      </c>
      <c r="N35" s="82">
        <f t="shared" si="33"/>
        <v>8086.88</v>
      </c>
      <c r="P35" s="81">
        <v>2057.9899999999998</v>
      </c>
      <c r="U35" s="82">
        <f t="shared" si="34"/>
        <v>2057.9899999999998</v>
      </c>
      <c r="W35" s="81">
        <v>2057.9899999999998</v>
      </c>
      <c r="AB35" s="82">
        <f t="shared" si="35"/>
        <v>2057.9899999999998</v>
      </c>
      <c r="AD35" s="82">
        <v>1499.62</v>
      </c>
      <c r="AI35" s="82">
        <f t="shared" si="36"/>
        <v>1499.62</v>
      </c>
      <c r="AK35" s="82">
        <v>58288.68</v>
      </c>
      <c r="AP35" s="82">
        <f t="shared" si="37"/>
        <v>58288.68</v>
      </c>
      <c r="AR35" s="82">
        <v>50715.17</v>
      </c>
      <c r="AW35" s="82">
        <f t="shared" si="8"/>
        <v>50715.17</v>
      </c>
      <c r="AY35" s="82">
        <v>101012.15</v>
      </c>
      <c r="BD35" s="82">
        <f t="shared" si="9"/>
        <v>101012.15</v>
      </c>
      <c r="BF35" s="82">
        <v>1286.57</v>
      </c>
      <c r="BK35" s="82">
        <f t="shared" si="10"/>
        <v>1286.57</v>
      </c>
      <c r="BM35" s="82">
        <v>35200.46</v>
      </c>
      <c r="BR35" s="82">
        <f t="shared" si="38"/>
        <v>35200.46</v>
      </c>
      <c r="BT35" s="82">
        <v>34461.910000000003</v>
      </c>
      <c r="BY35" s="82">
        <f t="shared" si="39"/>
        <v>34461.910000000003</v>
      </c>
      <c r="CA35" s="82">
        <v>16773.349999999999</v>
      </c>
      <c r="CF35" s="82">
        <f t="shared" si="40"/>
        <v>16773.349999999999</v>
      </c>
      <c r="CH35" s="82">
        <v>6079.47</v>
      </c>
      <c r="CM35" s="82">
        <f t="shared" si="41"/>
        <v>6079.47</v>
      </c>
      <c r="CO35" s="82">
        <v>15446.01</v>
      </c>
      <c r="CT35" s="82">
        <f t="shared" si="15"/>
        <v>15446.01</v>
      </c>
      <c r="CV35" s="82">
        <v>49209.91</v>
      </c>
      <c r="DA35" s="82">
        <f t="shared" si="16"/>
        <v>49209.91</v>
      </c>
      <c r="DC35" s="82">
        <v>25177.58</v>
      </c>
      <c r="DH35" s="82">
        <f t="shared" si="17"/>
        <v>25177.58</v>
      </c>
      <c r="DJ35" s="82">
        <v>25177.58</v>
      </c>
      <c r="DO35" s="82">
        <f t="shared" si="18"/>
        <v>25177.58</v>
      </c>
      <c r="DQ35" s="82">
        <v>23909.9</v>
      </c>
      <c r="DV35" s="82">
        <f t="shared" si="19"/>
        <v>23909.9</v>
      </c>
      <c r="DX35" s="82">
        <v>23542.11</v>
      </c>
      <c r="EC35" s="82">
        <f t="shared" si="20"/>
        <v>23542.11</v>
      </c>
      <c r="EE35" s="82">
        <v>23542.11</v>
      </c>
      <c r="EJ35" s="82">
        <f t="shared" si="21"/>
        <v>23542.11</v>
      </c>
      <c r="EL35" s="82">
        <v>1097.24</v>
      </c>
      <c r="EQ35" s="82">
        <f t="shared" si="22"/>
        <v>1097.24</v>
      </c>
      <c r="ES35" s="82">
        <v>1097.24</v>
      </c>
      <c r="EX35" s="82">
        <f t="shared" si="23"/>
        <v>1097.24</v>
      </c>
      <c r="EZ35" s="82">
        <v>150052.25</v>
      </c>
      <c r="FE35" s="82">
        <f t="shared" si="24"/>
        <v>150052.25</v>
      </c>
      <c r="FG35" s="82">
        <v>140173.54999999999</v>
      </c>
      <c r="FL35" s="82">
        <f t="shared" si="25"/>
        <v>140173.54999999999</v>
      </c>
      <c r="FN35" s="82">
        <v>103101.1</v>
      </c>
      <c r="FS35">
        <f t="shared" si="26"/>
        <v>103101.1</v>
      </c>
      <c r="FU35" s="82">
        <v>45339.07</v>
      </c>
      <c r="FZ35">
        <f t="shared" si="27"/>
        <v>45339.07</v>
      </c>
      <c r="GB35" s="82">
        <v>186851.99</v>
      </c>
      <c r="GG35">
        <f t="shared" si="28"/>
        <v>186851.99</v>
      </c>
      <c r="GI35" s="82">
        <v>153961.62</v>
      </c>
      <c r="GN35">
        <f t="shared" si="29"/>
        <v>153961.62</v>
      </c>
      <c r="GP35" s="82">
        <v>116676.35</v>
      </c>
      <c r="GU35">
        <f t="shared" si="30"/>
        <v>116676.35</v>
      </c>
      <c r="GW35" s="82">
        <v>29670.1</v>
      </c>
      <c r="HB35">
        <f t="shared" si="31"/>
        <v>29670.1</v>
      </c>
    </row>
    <row r="36" spans="1:211" ht="12.75" customHeight="1">
      <c r="A36" t="s">
        <v>788</v>
      </c>
      <c r="B36" s="81">
        <f>-SUMPRODUCT((Alcom!$B$3:$B$2399="Interest income-Staff Loan")*(MONTH(date)&lt;=MONTH('ANSC-TB'!$G$5)),(Alcom!$K$3:$V$2399))</f>
        <v>0</v>
      </c>
      <c r="C36" s="536">
        <f>70.6*3</f>
        <v>211.79999999999998</v>
      </c>
      <c r="G36" s="82">
        <f t="shared" si="32"/>
        <v>211.79999999999998</v>
      </c>
      <c r="I36" s="81">
        <v>967.68</v>
      </c>
      <c r="J36" s="536">
        <v>847.19999999999993</v>
      </c>
      <c r="N36" s="82">
        <f t="shared" si="33"/>
        <v>1814.8799999999999</v>
      </c>
      <c r="P36" s="81">
        <v>887.04</v>
      </c>
      <c r="Q36" s="536">
        <v>635.4</v>
      </c>
      <c r="U36" s="82">
        <f t="shared" si="34"/>
        <v>1522.44</v>
      </c>
      <c r="W36" s="81">
        <v>645.12</v>
      </c>
      <c r="X36" s="536">
        <v>423.59999999999997</v>
      </c>
      <c r="AB36" s="82">
        <f t="shared" si="35"/>
        <v>1068.72</v>
      </c>
      <c r="AD36" s="82">
        <v>403.2</v>
      </c>
      <c r="AE36" s="82">
        <f>70.6*3</f>
        <v>211.79999999999998</v>
      </c>
      <c r="AI36" s="82">
        <f t="shared" si="36"/>
        <v>615</v>
      </c>
      <c r="AK36" s="82">
        <v>2711.96</v>
      </c>
      <c r="AL36" s="82">
        <v>1411.12</v>
      </c>
      <c r="AP36" s="82">
        <f t="shared" si="37"/>
        <v>4123.08</v>
      </c>
      <c r="AR36" s="82">
        <v>2086.92</v>
      </c>
      <c r="AS36" s="82">
        <f>423.36+423.36+423.12</f>
        <v>1269.8400000000001</v>
      </c>
      <c r="AW36" s="82">
        <f t="shared" si="8"/>
        <v>3356.76</v>
      </c>
      <c r="AY36" s="82">
        <v>1391.28</v>
      </c>
      <c r="AZ36" s="82">
        <f>423.36+423.36</f>
        <v>846.72</v>
      </c>
      <c r="BD36" s="82">
        <f t="shared" si="9"/>
        <v>2238</v>
      </c>
      <c r="BF36" s="82">
        <v>695.64</v>
      </c>
      <c r="BG36" s="82">
        <v>423.36</v>
      </c>
      <c r="BK36" s="82">
        <f t="shared" si="10"/>
        <v>1119</v>
      </c>
      <c r="BM36" s="82">
        <v>3991.38</v>
      </c>
      <c r="BN36" s="82">
        <v>2539.77</v>
      </c>
      <c r="BR36" s="82">
        <f t="shared" si="38"/>
        <v>6531.15</v>
      </c>
      <c r="BT36" s="82"/>
      <c r="BY36" s="82"/>
      <c r="CA36" s="82"/>
      <c r="CF36" s="82"/>
      <c r="CH36" s="82"/>
      <c r="CM36" s="82"/>
      <c r="CO36" s="82"/>
      <c r="CT36" s="82"/>
      <c r="CV36" s="82"/>
      <c r="DA36" s="82"/>
      <c r="DC36" s="82"/>
      <c r="DH36" s="82"/>
      <c r="DJ36" s="82"/>
      <c r="DO36" s="82"/>
      <c r="DQ36" s="82"/>
      <c r="DV36" s="82"/>
      <c r="DX36" s="82"/>
      <c r="EC36" s="82"/>
      <c r="EE36" s="82"/>
      <c r="EJ36" s="82"/>
      <c r="EL36" s="82"/>
      <c r="EQ36" s="82"/>
      <c r="ES36" s="82"/>
      <c r="EX36" s="82"/>
      <c r="EZ36" s="82"/>
      <c r="FE36" s="82"/>
      <c r="FG36" s="82"/>
      <c r="FL36" s="82"/>
      <c r="FN36" s="82"/>
      <c r="FU36" s="82"/>
      <c r="GB36" s="82"/>
      <c r="GI36" s="82"/>
      <c r="GP36" s="82"/>
      <c r="GW36" s="82"/>
    </row>
    <row r="37" spans="1:211" ht="12.75" customHeight="1">
      <c r="A37" t="s">
        <v>822</v>
      </c>
      <c r="B37" s="53"/>
      <c r="C37" s="82"/>
      <c r="G37" s="82">
        <f t="shared" si="32"/>
        <v>0</v>
      </c>
      <c r="I37" s="53"/>
      <c r="J37" s="82"/>
      <c r="N37" s="82">
        <f t="shared" si="33"/>
        <v>0</v>
      </c>
      <c r="P37" s="53"/>
      <c r="Q37" s="82"/>
      <c r="U37" s="82">
        <f t="shared" si="34"/>
        <v>0</v>
      </c>
      <c r="W37" s="53"/>
      <c r="X37" s="82"/>
      <c r="AB37" s="82">
        <f t="shared" si="35"/>
        <v>0</v>
      </c>
      <c r="AD37" s="82">
        <v>-0.01</v>
      </c>
      <c r="AE37" s="82"/>
      <c r="AI37" s="82">
        <f t="shared" si="36"/>
        <v>-0.01</v>
      </c>
      <c r="AK37" s="82">
        <v>1500</v>
      </c>
      <c r="AL37" s="82"/>
      <c r="AP37" s="82">
        <f t="shared" si="37"/>
        <v>1500</v>
      </c>
      <c r="AR37" s="82"/>
      <c r="AS37" s="82"/>
      <c r="AW37" s="82">
        <f t="shared" si="8"/>
        <v>0</v>
      </c>
      <c r="AY37" s="82"/>
      <c r="AZ37" s="82"/>
      <c r="BD37" s="82">
        <f t="shared" si="9"/>
        <v>0</v>
      </c>
      <c r="BF37" s="82"/>
      <c r="BG37" s="82"/>
      <c r="BK37" s="82">
        <f t="shared" si="10"/>
        <v>0</v>
      </c>
      <c r="BM37" s="82"/>
      <c r="BN37" s="82"/>
      <c r="BR37" s="82">
        <f t="shared" si="38"/>
        <v>0</v>
      </c>
      <c r="BT37" s="82"/>
      <c r="BY37" s="82"/>
      <c r="CA37" s="82"/>
      <c r="CF37" s="82"/>
      <c r="CH37" s="82"/>
      <c r="CM37" s="82"/>
      <c r="CO37" s="82"/>
      <c r="CT37" s="82"/>
      <c r="CV37" s="82"/>
      <c r="DA37" s="82"/>
      <c r="DC37" s="82"/>
      <c r="DH37" s="82"/>
      <c r="DJ37" s="82"/>
      <c r="DO37" s="82"/>
      <c r="DQ37" s="82"/>
      <c r="DV37" s="82"/>
      <c r="DX37" s="82"/>
      <c r="EC37" s="82"/>
      <c r="EE37" s="82"/>
      <c r="EJ37" s="82"/>
      <c r="EL37" s="82"/>
      <c r="EQ37" s="82"/>
      <c r="ES37" s="82"/>
      <c r="EX37" s="82"/>
      <c r="EZ37" s="82"/>
      <c r="FE37" s="82"/>
      <c r="FG37" s="82"/>
      <c r="FL37" s="82"/>
      <c r="FN37" s="82"/>
      <c r="FU37" s="82"/>
      <c r="GB37" s="82"/>
      <c r="GI37" s="82"/>
      <c r="GP37" s="82"/>
      <c r="GW37" s="82"/>
    </row>
    <row r="38" spans="1:211" ht="12.75" customHeight="1">
      <c r="A38" s="273" t="s">
        <v>789</v>
      </c>
      <c r="B38" s="81">
        <f>-SUMPRODUCT((Alcom!$B$3:$B$2399="3rd party Other income/(expense)")*(MONTH(date)&lt;=MONTH('ANSC-TB'!$G$5)),(Alcom!$K$3:$V$2399))-B41+B45-B16</f>
        <v>10350</v>
      </c>
      <c r="C38" s="82"/>
      <c r="F38" s="53"/>
      <c r="G38" s="82">
        <f t="shared" si="32"/>
        <v>10350</v>
      </c>
      <c r="H38" s="273"/>
      <c r="I38" s="81">
        <v>34905.459999999992</v>
      </c>
      <c r="J38" s="82"/>
      <c r="M38" s="53"/>
      <c r="N38" s="82">
        <f t="shared" si="33"/>
        <v>34905.459999999992</v>
      </c>
      <c r="O38" s="273"/>
      <c r="P38" s="81">
        <v>31932.140000000003</v>
      </c>
      <c r="Q38" s="82"/>
      <c r="T38" s="53"/>
      <c r="U38" s="82">
        <f t="shared" si="34"/>
        <v>31932.140000000003</v>
      </c>
      <c r="V38" s="273"/>
      <c r="W38" s="82">
        <f>4556.64+9000+18375.5</f>
        <v>31932.14</v>
      </c>
      <c r="X38" s="82"/>
      <c r="AA38" s="53"/>
      <c r="AB38" s="82">
        <f t="shared" si="35"/>
        <v>31932.14</v>
      </c>
      <c r="AD38" s="82">
        <v>4556.6400000000003</v>
      </c>
      <c r="AE38" s="82"/>
      <c r="AH38" s="53"/>
      <c r="AI38" s="82">
        <f t="shared" si="36"/>
        <v>4556.6400000000003</v>
      </c>
      <c r="AK38" s="82">
        <f>26702.75+29500+166791.84+39757.02</f>
        <v>262751.61</v>
      </c>
      <c r="AL38" s="82">
        <f>11116.23</f>
        <v>11116.23</v>
      </c>
      <c r="AO38" s="53"/>
      <c r="AP38" s="82">
        <f t="shared" si="37"/>
        <v>273867.83999999997</v>
      </c>
      <c r="AR38" s="380">
        <f>26702.75+29500+166791.84</f>
        <v>222994.59</v>
      </c>
      <c r="AS38" s="278">
        <f>11116.23</f>
        <v>11116.23</v>
      </c>
      <c r="AV38" s="53"/>
      <c r="AW38" s="82">
        <f>SUM(AR38:AV38)</f>
        <v>234110.82</v>
      </c>
      <c r="AY38" s="380">
        <f>26702.75+29500</f>
        <v>56202.75</v>
      </c>
      <c r="AZ38" s="278">
        <f>11116.23</f>
        <v>11116.23</v>
      </c>
      <c r="BC38" s="53"/>
      <c r="BD38" s="82">
        <f>SUM(AY38:BC38)</f>
        <v>67318.98</v>
      </c>
      <c r="BF38" s="380">
        <f>26702.75+29500</f>
        <v>56202.75</v>
      </c>
      <c r="BG38" s="278">
        <f>11116.23</f>
        <v>11116.23</v>
      </c>
      <c r="BJ38" s="53"/>
      <c r="BK38" s="82">
        <f>SUM(BF38:BJ38)</f>
        <v>67318.98</v>
      </c>
      <c r="BM38" s="83">
        <f>50000+10271</f>
        <v>60271</v>
      </c>
      <c r="BN38" s="53">
        <v>22436.28</v>
      </c>
      <c r="BQ38" s="53"/>
      <c r="BR38" s="82">
        <f t="shared" si="38"/>
        <v>82707.28</v>
      </c>
      <c r="BT38" s="82">
        <v>5902.46</v>
      </c>
      <c r="BU38" s="53">
        <v>22436.28</v>
      </c>
      <c r="BX38" s="53"/>
      <c r="BY38" s="82">
        <f t="shared" si="39"/>
        <v>28338.739999999998</v>
      </c>
      <c r="CA38" s="82">
        <v>5902.46</v>
      </c>
      <c r="CB38" s="53">
        <v>0</v>
      </c>
      <c r="CE38" s="53"/>
      <c r="CF38" s="82">
        <f t="shared" si="40"/>
        <v>5902.46</v>
      </c>
      <c r="CH38" s="82">
        <v>0</v>
      </c>
      <c r="CI38" s="53">
        <v>0</v>
      </c>
      <c r="CL38" s="53"/>
      <c r="CM38" s="82">
        <f t="shared" si="41"/>
        <v>0</v>
      </c>
      <c r="CO38" s="82">
        <v>0</v>
      </c>
      <c r="CP38" s="53">
        <v>0</v>
      </c>
      <c r="CS38" s="53"/>
      <c r="CT38" s="82">
        <f>SUM(CO38:CS38)</f>
        <v>0</v>
      </c>
      <c r="CV38" s="82">
        <v>10681</v>
      </c>
      <c r="CW38" s="53">
        <v>0</v>
      </c>
      <c r="CZ38" s="53"/>
      <c r="DA38" s="82">
        <f>SUM(CV38:CZ38)</f>
        <v>10681</v>
      </c>
      <c r="DC38" s="82">
        <v>10681</v>
      </c>
      <c r="DD38" s="53">
        <v>0</v>
      </c>
      <c r="DG38" s="53"/>
      <c r="DH38" s="82">
        <f>SUM(DC38:DG38)</f>
        <v>10681</v>
      </c>
      <c r="DJ38" s="82">
        <v>0</v>
      </c>
      <c r="DK38" s="53">
        <v>0</v>
      </c>
      <c r="DN38" s="53"/>
      <c r="DO38" s="82">
        <f>SUM(DJ38:DN38)</f>
        <v>0</v>
      </c>
      <c r="DQ38" s="82">
        <v>0</v>
      </c>
      <c r="DR38" s="53">
        <v>0</v>
      </c>
      <c r="DU38" s="53"/>
      <c r="DV38" s="82">
        <f>SUM(DQ38:DU38)</f>
        <v>0</v>
      </c>
      <c r="DX38" s="82">
        <f>7481.72+12135</f>
        <v>19616.72</v>
      </c>
      <c r="DY38" s="53">
        <v>2859.05</v>
      </c>
      <c r="EB38" s="53"/>
      <c r="EC38" s="82">
        <f>SUM(DX38:EB38)</f>
        <v>22475.77</v>
      </c>
      <c r="EE38" s="82">
        <v>3082.9</v>
      </c>
      <c r="EF38" s="53"/>
      <c r="EI38" s="53"/>
      <c r="EJ38" s="82">
        <f>SUM(EE38:EI38)</f>
        <v>3082.9</v>
      </c>
      <c r="EL38" s="82">
        <v>3018.4</v>
      </c>
      <c r="EM38" s="53"/>
      <c r="EP38" s="53"/>
      <c r="EQ38" s="82">
        <f>SUM(EL38:EP38)</f>
        <v>3018.4</v>
      </c>
      <c r="ES38" s="82">
        <v>2918.4</v>
      </c>
      <c r="ET38" s="53"/>
      <c r="EW38" s="53"/>
      <c r="EX38" s="82">
        <f>SUM(ES38:EW38)</f>
        <v>2918.4</v>
      </c>
      <c r="EZ38" s="82">
        <v>320</v>
      </c>
      <c r="FA38" s="53"/>
      <c r="FD38" s="53"/>
      <c r="FE38" s="82">
        <f>SUM(EZ38:FD38)</f>
        <v>320</v>
      </c>
      <c r="FG38" s="82"/>
      <c r="FH38" s="53"/>
      <c r="FK38" s="53"/>
      <c r="FL38" s="82">
        <f>SUM(FG38:FK38)</f>
        <v>0</v>
      </c>
      <c r="FN38" s="82"/>
      <c r="FS38">
        <f t="shared" si="26"/>
        <v>0</v>
      </c>
      <c r="FU38" s="82"/>
      <c r="FZ38">
        <f t="shared" si="27"/>
        <v>0</v>
      </c>
      <c r="GB38" s="82"/>
      <c r="GG38">
        <f t="shared" si="28"/>
        <v>0</v>
      </c>
      <c r="GI38" s="82"/>
      <c r="GN38">
        <f t="shared" si="29"/>
        <v>0</v>
      </c>
      <c r="GP38" s="82"/>
      <c r="GU38">
        <f t="shared" si="30"/>
        <v>0</v>
      </c>
      <c r="GW38" s="82"/>
      <c r="HB38">
        <f t="shared" si="31"/>
        <v>0</v>
      </c>
    </row>
    <row r="39" spans="1:211" ht="12.75" customHeight="1">
      <c r="A39" t="s">
        <v>2515</v>
      </c>
      <c r="B39" s="81"/>
      <c r="C39" s="81"/>
      <c r="G39" s="82">
        <f t="shared" si="32"/>
        <v>0</v>
      </c>
      <c r="I39" s="275"/>
      <c r="N39" s="82">
        <f t="shared" si="33"/>
        <v>0</v>
      </c>
      <c r="P39" s="275"/>
      <c r="U39" s="82">
        <f t="shared" si="34"/>
        <v>0</v>
      </c>
      <c r="W39" s="275"/>
      <c r="AB39" s="82">
        <f t="shared" si="35"/>
        <v>0</v>
      </c>
      <c r="AD39" s="275"/>
      <c r="AI39" s="82">
        <f t="shared" si="36"/>
        <v>0</v>
      </c>
      <c r="AK39" s="275"/>
      <c r="AP39" s="82">
        <f t="shared" si="37"/>
        <v>0</v>
      </c>
      <c r="AR39" s="275"/>
      <c r="AW39" s="82">
        <f>SUM(AR39:AV39)</f>
        <v>0</v>
      </c>
      <c r="AY39" s="275"/>
      <c r="BD39" s="82">
        <f>SUM(AY39:BC39)</f>
        <v>0</v>
      </c>
      <c r="BF39" s="275"/>
      <c r="BK39" s="82">
        <f>SUM(BF39:BJ39)</f>
        <v>0</v>
      </c>
      <c r="BM39" s="275"/>
      <c r="BR39" s="82">
        <f t="shared" si="38"/>
        <v>0</v>
      </c>
      <c r="BT39" s="275"/>
      <c r="BY39" s="82">
        <f t="shared" si="39"/>
        <v>0</v>
      </c>
      <c r="CA39" s="275"/>
      <c r="CF39" s="82">
        <f t="shared" si="40"/>
        <v>0</v>
      </c>
      <c r="CH39" s="275"/>
      <c r="CM39" s="82">
        <f t="shared" si="41"/>
        <v>0</v>
      </c>
      <c r="CO39" s="275"/>
      <c r="CT39" s="82">
        <f>SUM(CO39:CS39)</f>
        <v>0</v>
      </c>
      <c r="CV39" s="275"/>
      <c r="DA39" s="82">
        <f>SUM(CV39:CZ39)</f>
        <v>0</v>
      </c>
      <c r="DC39" s="275"/>
      <c r="DH39" s="82">
        <f>SUM(DC39:DG39)</f>
        <v>0</v>
      </c>
      <c r="DJ39" s="275"/>
      <c r="DO39" s="82">
        <f>SUM(DJ39:DN39)</f>
        <v>0</v>
      </c>
      <c r="DQ39" s="275"/>
      <c r="DV39" s="82">
        <f>SUM(DQ39:DU39)</f>
        <v>0</v>
      </c>
      <c r="DX39" s="275"/>
      <c r="EC39" s="82">
        <f>SUM(DX39:EB39)</f>
        <v>0</v>
      </c>
      <c r="EE39" s="275"/>
      <c r="EJ39" s="82">
        <f>SUM(EE39:EI39)</f>
        <v>0</v>
      </c>
      <c r="EL39" s="275"/>
      <c r="EQ39" s="82">
        <f>SUM(EL39:EP39)</f>
        <v>0</v>
      </c>
      <c r="ES39" s="275"/>
      <c r="EX39" s="82">
        <f>SUM(ES39:EW39)</f>
        <v>0</v>
      </c>
      <c r="EZ39" s="352">
        <v>0</v>
      </c>
      <c r="FE39" s="82">
        <f>SUM(EZ39:FD39)</f>
        <v>0</v>
      </c>
      <c r="FG39" s="352">
        <v>0</v>
      </c>
      <c r="FL39" s="82">
        <f>SUM(FG39:FK39)</f>
        <v>0</v>
      </c>
      <c r="FN39" s="352">
        <v>0</v>
      </c>
      <c r="FS39">
        <f t="shared" si="26"/>
        <v>0</v>
      </c>
      <c r="FU39" s="352">
        <v>0</v>
      </c>
      <c r="FZ39">
        <f t="shared" si="27"/>
        <v>0</v>
      </c>
      <c r="GB39" s="352">
        <f>1067318.64-GB41</f>
        <v>96522.249999999884</v>
      </c>
      <c r="GG39">
        <f t="shared" si="28"/>
        <v>96522.249999999884</v>
      </c>
      <c r="GI39" s="82"/>
      <c r="GP39" s="82"/>
      <c r="GW39" s="82"/>
    </row>
    <row r="40" spans="1:211" ht="12.75" customHeight="1">
      <c r="A40" t="s">
        <v>740</v>
      </c>
      <c r="B40" s="275"/>
      <c r="C40" s="82"/>
      <c r="G40" s="82">
        <f t="shared" si="32"/>
        <v>0</v>
      </c>
      <c r="I40" s="275"/>
      <c r="J40" s="82"/>
      <c r="N40" s="82">
        <f t="shared" si="33"/>
        <v>0</v>
      </c>
      <c r="P40" s="275"/>
      <c r="Q40" s="82"/>
      <c r="U40" s="82">
        <f t="shared" si="34"/>
        <v>0</v>
      </c>
      <c r="W40" s="275"/>
      <c r="X40" s="82"/>
      <c r="AB40" s="82">
        <f t="shared" si="35"/>
        <v>0</v>
      </c>
      <c r="AD40" s="275"/>
      <c r="AE40" s="82"/>
      <c r="AI40" s="82">
        <f t="shared" si="36"/>
        <v>0</v>
      </c>
      <c r="AK40" s="275"/>
      <c r="AL40" s="82">
        <v>85085</v>
      </c>
      <c r="AP40" s="82">
        <f t="shared" si="37"/>
        <v>85085</v>
      </c>
      <c r="AR40" s="275"/>
      <c r="AS40" s="82"/>
      <c r="AW40" s="82">
        <f>SUM(AR40:AV40)</f>
        <v>0</v>
      </c>
      <c r="AY40" s="275"/>
      <c r="AZ40" s="82"/>
      <c r="BD40" s="82">
        <f>SUM(AY40:BC40)</f>
        <v>0</v>
      </c>
      <c r="BF40" s="275"/>
      <c r="BG40" s="82"/>
      <c r="BK40" s="82">
        <f>SUM(BF40:BJ40)</f>
        <v>0</v>
      </c>
      <c r="BM40" s="275"/>
      <c r="BN40" s="82">
        <v>290875.92</v>
      </c>
      <c r="BR40" s="82">
        <f t="shared" si="38"/>
        <v>290875.92</v>
      </c>
      <c r="BT40" s="275"/>
      <c r="BU40" s="82">
        <v>290875.92</v>
      </c>
      <c r="BY40" s="82">
        <f t="shared" si="39"/>
        <v>290875.92</v>
      </c>
      <c r="CA40" s="275"/>
      <c r="CB40" s="82">
        <v>290875.92</v>
      </c>
      <c r="CF40" s="82">
        <f t="shared" si="40"/>
        <v>290875.92</v>
      </c>
      <c r="CH40" s="275"/>
      <c r="CI40" s="82">
        <v>290875.92</v>
      </c>
      <c r="CM40" s="82">
        <f t="shared" si="41"/>
        <v>290875.92</v>
      </c>
      <c r="CO40" s="275"/>
      <c r="CT40" s="82"/>
      <c r="CV40" s="275"/>
      <c r="DA40" s="82"/>
      <c r="DC40" s="275"/>
      <c r="DH40" s="82"/>
      <c r="DJ40" s="275"/>
      <c r="DO40" s="82"/>
      <c r="DQ40" s="275"/>
      <c r="DV40" s="82"/>
      <c r="DX40" s="275"/>
      <c r="EC40" s="82"/>
      <c r="EE40" s="275"/>
      <c r="EJ40" s="82"/>
      <c r="EL40" s="275"/>
      <c r="EQ40" s="82"/>
      <c r="ES40" s="275"/>
      <c r="EX40" s="82"/>
      <c r="EZ40" s="352"/>
      <c r="FE40" s="82"/>
      <c r="FG40" s="352"/>
      <c r="FL40" s="82"/>
      <c r="FN40" s="352"/>
      <c r="FU40" s="352"/>
      <c r="GB40" s="352"/>
      <c r="GI40" s="82"/>
      <c r="GP40" s="82"/>
      <c r="GW40" s="82"/>
    </row>
    <row r="41" spans="1:211" ht="12.75" customHeight="1">
      <c r="A41" s="449" t="s">
        <v>2492</v>
      </c>
      <c r="B41" s="536"/>
      <c r="C41" s="545"/>
      <c r="G41" s="82">
        <f t="shared" si="32"/>
        <v>0</v>
      </c>
      <c r="H41" s="449"/>
      <c r="I41" s="536">
        <v>8788.16</v>
      </c>
      <c r="J41" s="545">
        <v>14963.73</v>
      </c>
      <c r="N41" s="82">
        <f t="shared" si="33"/>
        <v>23751.89</v>
      </c>
      <c r="O41" s="449"/>
      <c r="P41" s="536">
        <v>8788.16</v>
      </c>
      <c r="Q41" s="545">
        <v>14963.73</v>
      </c>
      <c r="U41" s="82">
        <f t="shared" si="34"/>
        <v>23751.89</v>
      </c>
      <c r="V41" s="449"/>
      <c r="W41" s="536">
        <v>3140.8</v>
      </c>
      <c r="X41" s="82"/>
      <c r="AB41" s="82">
        <f t="shared" si="35"/>
        <v>3140.8</v>
      </c>
      <c r="AD41" s="82">
        <v>3140.8</v>
      </c>
      <c r="AE41" s="82"/>
      <c r="AI41" s="82">
        <f t="shared" si="36"/>
        <v>3140.8</v>
      </c>
      <c r="AK41" s="82"/>
      <c r="AL41" s="82"/>
      <c r="AP41" s="82">
        <f t="shared" si="37"/>
        <v>0</v>
      </c>
      <c r="AR41" s="82"/>
      <c r="AS41" s="82"/>
      <c r="AW41" s="82">
        <f>SUM(AR41:AV41)</f>
        <v>0</v>
      </c>
      <c r="AY41" s="82"/>
      <c r="AZ41" s="82"/>
      <c r="BD41" s="82">
        <f>SUM(AY41:BC41)</f>
        <v>0</v>
      </c>
      <c r="BF41" s="82"/>
      <c r="BG41" s="82"/>
      <c r="BK41" s="82">
        <f>SUM(BF41:BJ41)</f>
        <v>0</v>
      </c>
      <c r="BM41" s="82">
        <v>9600.56</v>
      </c>
      <c r="BN41" s="82">
        <v>19285.93</v>
      </c>
      <c r="BR41" s="82">
        <f t="shared" si="38"/>
        <v>28886.489999999998</v>
      </c>
      <c r="BT41" s="82">
        <v>9600.56</v>
      </c>
      <c r="BU41" s="82">
        <v>19285.93</v>
      </c>
      <c r="BY41" s="82">
        <f t="shared" si="39"/>
        <v>28886.489999999998</v>
      </c>
      <c r="CA41" s="82"/>
      <c r="CB41" s="82">
        <v>0</v>
      </c>
      <c r="CF41" s="82">
        <f t="shared" si="40"/>
        <v>0</v>
      </c>
      <c r="CH41" s="82">
        <v>0</v>
      </c>
      <c r="CI41" s="82">
        <v>0</v>
      </c>
      <c r="CM41" s="82">
        <f t="shared" si="41"/>
        <v>0</v>
      </c>
      <c r="CO41" s="82">
        <v>11730.89</v>
      </c>
      <c r="CP41" s="82">
        <v>20857.78</v>
      </c>
      <c r="CT41" s="82">
        <f>SUM(CO41:CS41)</f>
        <v>32588.67</v>
      </c>
      <c r="CV41" s="82"/>
      <c r="CW41" s="82"/>
      <c r="DA41" s="82">
        <f>SUM(CV41:CZ41)</f>
        <v>0</v>
      </c>
      <c r="DC41" s="82"/>
      <c r="DD41" s="82"/>
      <c r="DH41" s="82">
        <f>SUM(DC41:DG41)</f>
        <v>0</v>
      </c>
      <c r="DJ41" s="82"/>
      <c r="DK41" s="82"/>
      <c r="DO41" s="82">
        <f>SUM(DJ41:DN41)</f>
        <v>0</v>
      </c>
      <c r="DQ41" s="82"/>
      <c r="DR41" s="82"/>
      <c r="DV41" s="82">
        <f>SUM(DQ41:DU41)</f>
        <v>0</v>
      </c>
      <c r="DX41" s="82"/>
      <c r="DY41" s="82"/>
      <c r="EC41" s="82">
        <f>SUM(DX41:EB41)</f>
        <v>0</v>
      </c>
      <c r="EE41" s="82"/>
      <c r="EF41" s="82"/>
      <c r="EJ41" s="82">
        <f>SUM(EE41:EI41)</f>
        <v>0</v>
      </c>
      <c r="EL41" s="82"/>
      <c r="EM41" s="82"/>
      <c r="EQ41" s="82">
        <f>SUM(EL41:EP41)</f>
        <v>0</v>
      </c>
      <c r="ES41" s="82"/>
      <c r="ET41" s="82"/>
      <c r="EX41" s="82">
        <f>SUM(ES41:EW41)</f>
        <v>0</v>
      </c>
      <c r="EZ41" s="82">
        <v>4357.55</v>
      </c>
      <c r="FA41" s="82">
        <v>4045.09</v>
      </c>
      <c r="FE41" s="82">
        <f>SUM(EZ41:FD41)</f>
        <v>8402.64</v>
      </c>
      <c r="FG41" s="82">
        <v>0</v>
      </c>
      <c r="FL41" s="82">
        <f>SUM(FG41:FK41)</f>
        <v>0</v>
      </c>
      <c r="FN41" s="82">
        <v>0</v>
      </c>
      <c r="FS41">
        <f t="shared" si="26"/>
        <v>0</v>
      </c>
      <c r="FU41" s="82">
        <v>0</v>
      </c>
      <c r="FZ41">
        <f t="shared" si="27"/>
        <v>0</v>
      </c>
      <c r="GB41" s="82">
        <f>791806.85+178989.54</f>
        <v>970796.39</v>
      </c>
      <c r="GG41">
        <f t="shared" si="28"/>
        <v>970796.39</v>
      </c>
      <c r="GI41" s="82">
        <f>791806.85+178989.54</f>
        <v>970796.39</v>
      </c>
      <c r="GN41">
        <f t="shared" si="29"/>
        <v>970796.39</v>
      </c>
      <c r="GP41" s="82">
        <f>791806.85+178989.54</f>
        <v>970796.39</v>
      </c>
      <c r="GU41">
        <f t="shared" si="30"/>
        <v>970796.39</v>
      </c>
      <c r="GW41" s="82"/>
      <c r="HB41">
        <f t="shared" si="31"/>
        <v>0</v>
      </c>
    </row>
    <row r="42" spans="1:211" ht="12.75" customHeight="1">
      <c r="B42" s="242">
        <f>SUM(B28:B41)</f>
        <v>297209.46999999997</v>
      </c>
      <c r="C42" s="242">
        <f>SUM(C28:C41)</f>
        <v>127352.16</v>
      </c>
      <c r="D42" s="242">
        <f>SUM(D28:D41)</f>
        <v>0</v>
      </c>
      <c r="E42" s="242">
        <f>SUM(E28:E41)</f>
        <v>0</v>
      </c>
      <c r="F42" s="242"/>
      <c r="G42" s="242">
        <f>SUM(G28:G41)</f>
        <v>271561.63</v>
      </c>
      <c r="I42" s="242">
        <v>1153261.1799999997</v>
      </c>
      <c r="J42" s="242">
        <v>458266.26</v>
      </c>
      <c r="K42" s="242">
        <v>0</v>
      </c>
      <c r="L42" s="242">
        <v>0</v>
      </c>
      <c r="M42" s="242"/>
      <c r="N42" s="242">
        <f>SUM(N28:N41)</f>
        <v>999527.44000000006</v>
      </c>
      <c r="P42" s="242">
        <v>894605.84000000008</v>
      </c>
      <c r="Q42" s="242">
        <v>346396.19</v>
      </c>
      <c r="R42" s="242">
        <v>0</v>
      </c>
      <c r="S42" s="242">
        <v>0</v>
      </c>
      <c r="T42" s="242"/>
      <c r="U42" s="242">
        <f>SUM(U28:U41)</f>
        <v>782002.03</v>
      </c>
      <c r="W42" s="242">
        <f>SUM(W28:W41)</f>
        <v>621486.60000000009</v>
      </c>
      <c r="X42" s="242">
        <f>SUM(X28:X41)</f>
        <v>218953.29</v>
      </c>
      <c r="Y42" s="242">
        <f>SUM(Y28:Y41)</f>
        <v>0</v>
      </c>
      <c r="Z42" s="242">
        <f>SUM(Z28:Z41)</f>
        <v>0</v>
      </c>
      <c r="AA42" s="242"/>
      <c r="AB42" s="242">
        <f>SUM(AB28:AB41)</f>
        <v>534439.89</v>
      </c>
      <c r="AC42" s="241"/>
      <c r="AD42" s="242">
        <f>SUM(AD28:AD41)</f>
        <v>295515.45</v>
      </c>
      <c r="AE42" s="242">
        <f>SUM(AE28:AE41)</f>
        <v>108418.1</v>
      </c>
      <c r="AF42" s="242">
        <f>SUM(AF28:AF41)</f>
        <v>0</v>
      </c>
      <c r="AG42" s="242">
        <f>SUM(AG28:AG41)</f>
        <v>0</v>
      </c>
      <c r="AH42" s="242"/>
      <c r="AI42" s="242">
        <f>SUM(AI28:AI41)</f>
        <v>250933.55</v>
      </c>
      <c r="AJ42" s="241"/>
      <c r="AK42" s="242">
        <f>SUM(AK28:AK41)</f>
        <v>1471970.0299999998</v>
      </c>
      <c r="AL42" s="242">
        <f>SUM(AL28:AL41)</f>
        <v>380679.00999999995</v>
      </c>
      <c r="AM42" s="242">
        <f>SUM(AM28:AM41)</f>
        <v>0</v>
      </c>
      <c r="AN42" s="242">
        <f>SUM(AN28:AN41)</f>
        <v>0</v>
      </c>
      <c r="AO42" s="242"/>
      <c r="AP42" s="242">
        <f>SUM(AP28:AP41)</f>
        <v>1240649.04</v>
      </c>
      <c r="AQ42" s="241"/>
      <c r="AR42" s="242">
        <f>SUM(AR28:AR41)</f>
        <v>1168113.9700000002</v>
      </c>
      <c r="AS42" s="242">
        <f>SUM(AS28:AS41)</f>
        <v>217215.01</v>
      </c>
      <c r="AT42" s="242">
        <f>SUM(AT28:AT41)</f>
        <v>0</v>
      </c>
      <c r="AU42" s="242">
        <f>SUM(AU28:AU41)</f>
        <v>0</v>
      </c>
      <c r="AV42" s="242"/>
      <c r="AW42" s="242">
        <f>SUM(AW28:AW41)</f>
        <v>926328.98</v>
      </c>
      <c r="AX42" s="241"/>
      <c r="AY42" s="242">
        <f>SUM(AY28:AY41)</f>
        <v>807444.16</v>
      </c>
      <c r="AZ42" s="242">
        <f>SUM(AZ28:AZ41)</f>
        <v>135122.51</v>
      </c>
      <c r="BA42" s="242">
        <f>SUM(BA28:BA41)</f>
        <v>0</v>
      </c>
      <c r="BB42" s="242">
        <f>SUM(BB28:BB41)</f>
        <v>0</v>
      </c>
      <c r="BC42" s="242"/>
      <c r="BD42" s="242">
        <f>SUM(BD28:BD41)</f>
        <v>636566.66999999993</v>
      </c>
      <c r="BE42" s="241"/>
      <c r="BF42" s="242">
        <f>SUM(BF28:BF41)</f>
        <v>413273.04000000004</v>
      </c>
      <c r="BG42" s="242">
        <f>SUM(BG28:BG41)</f>
        <v>59653.39</v>
      </c>
      <c r="BH42" s="242">
        <f>SUM(BH28:BH41)</f>
        <v>0</v>
      </c>
      <c r="BI42" s="242">
        <f>SUM(BI28:BI41)</f>
        <v>0</v>
      </c>
      <c r="BJ42" s="242"/>
      <c r="BK42" s="242">
        <f>SUM(BK28:BK41)</f>
        <v>319926.43</v>
      </c>
      <c r="BL42" s="241"/>
      <c r="BM42" s="242">
        <f>SUM(BM28:BM41)</f>
        <v>1709055.39</v>
      </c>
      <c r="BN42" s="242">
        <f>SUM(BN28:BN41)</f>
        <v>656939.87</v>
      </c>
      <c r="BO42" s="242">
        <f>SUM(BO28:BO41)</f>
        <v>0</v>
      </c>
      <c r="BP42" s="242">
        <f>SUM(BP28:BP41)</f>
        <v>0</v>
      </c>
      <c r="BQ42" s="242"/>
      <c r="BR42" s="242">
        <f>SUM(BR28:BR41)</f>
        <v>1753995.2599999998</v>
      </c>
      <c r="BS42" s="241"/>
      <c r="BT42" s="242">
        <f>SUM(BT28:BT41)</f>
        <v>1208024.21</v>
      </c>
      <c r="BU42" s="242">
        <f>SUM(BU28:BU41)</f>
        <v>603560.93000000005</v>
      </c>
      <c r="BV42" s="242">
        <f>SUM(BV28:BV41)</f>
        <v>0</v>
      </c>
      <c r="BW42" s="242">
        <f>SUM(BW28:BW41)</f>
        <v>0</v>
      </c>
      <c r="BX42" s="242"/>
      <c r="BY42" s="242">
        <f>SUM(BY28:BY41)</f>
        <v>1352585.1400000001</v>
      </c>
      <c r="BZ42" s="241"/>
      <c r="CA42" s="242">
        <f>SUM(CA28:CA41)</f>
        <v>814493.1</v>
      </c>
      <c r="CB42" s="242">
        <f>SUM(CB28:CB41)</f>
        <v>473030.20999999996</v>
      </c>
      <c r="CC42" s="242">
        <f>SUM(CC28:CC41)</f>
        <v>0</v>
      </c>
      <c r="CD42" s="242">
        <f>SUM(CD28:CD41)</f>
        <v>0</v>
      </c>
      <c r="CE42" s="242"/>
      <c r="CF42" s="242">
        <f>SUM(CF28:CF41)</f>
        <v>981523.30999999982</v>
      </c>
      <c r="CG42" s="241"/>
      <c r="CH42" s="242">
        <f>SUM(CH28:CH41)</f>
        <v>448593.16</v>
      </c>
      <c r="CI42" s="242">
        <f>SUM(CI28:CI41)</f>
        <v>376074.93</v>
      </c>
      <c r="CJ42" s="242">
        <f>SUM(CJ28:CJ41)</f>
        <v>0</v>
      </c>
      <c r="CK42" s="242">
        <f>SUM(CK28:CK41)</f>
        <v>0</v>
      </c>
      <c r="CL42" s="242"/>
      <c r="CM42" s="242">
        <f>SUM(CM28:CM41)</f>
        <v>671668.09</v>
      </c>
      <c r="CN42" s="241"/>
      <c r="CO42" s="242">
        <f>SUM(CO28:CO41)</f>
        <v>352312.52</v>
      </c>
      <c r="CP42" s="242">
        <f>SUM(CP28:CP41)</f>
        <v>112441.39</v>
      </c>
      <c r="CQ42" s="242">
        <f>SUM(CQ28:CQ41)</f>
        <v>0</v>
      </c>
      <c r="CR42" s="242">
        <f>SUM(CR28:CR41)</f>
        <v>0</v>
      </c>
      <c r="CS42" s="242"/>
      <c r="CT42" s="242">
        <f>SUM(CT28:CT41)</f>
        <v>464753.91</v>
      </c>
      <c r="CU42" s="241"/>
      <c r="CV42" s="242">
        <f>SUM(CV28:CV41)</f>
        <v>968585.54</v>
      </c>
      <c r="CW42" s="242">
        <f>SUM(CW28:CW41)</f>
        <v>255775.81</v>
      </c>
      <c r="CX42" s="242">
        <f>SUM(CX28:CX41)</f>
        <v>0</v>
      </c>
      <c r="CY42" s="242">
        <f>SUM(CY28:CY41)</f>
        <v>0</v>
      </c>
      <c r="CZ42" s="242"/>
      <c r="DA42" s="242">
        <f>SUM(DA28:DA41)</f>
        <v>1071361.3500000001</v>
      </c>
      <c r="DB42" s="241"/>
      <c r="DC42" s="242">
        <f>SUM(DC28:DC41)</f>
        <v>621233.00999999989</v>
      </c>
      <c r="DD42" s="242">
        <f>SUM(DD28:DD41)</f>
        <v>166190.91</v>
      </c>
      <c r="DE42" s="242">
        <f>SUM(DE28:DE41)</f>
        <v>0</v>
      </c>
      <c r="DF42" s="242">
        <f>SUM(DF28:DF41)</f>
        <v>0</v>
      </c>
      <c r="DG42" s="242"/>
      <c r="DH42" s="242">
        <f>SUM(DH28:DH41)</f>
        <v>634423.91999999993</v>
      </c>
      <c r="DI42" s="241"/>
      <c r="DJ42" s="242">
        <f>SUM(DJ28:DJ41)</f>
        <v>382353.76</v>
      </c>
      <c r="DK42" s="242">
        <f>SUM(DK28:DK41)</f>
        <v>95712.61</v>
      </c>
      <c r="DL42" s="242">
        <f>SUM(DL28:DL41)</f>
        <v>0</v>
      </c>
      <c r="DM42" s="242">
        <f>SUM(DM28:DM41)</f>
        <v>0</v>
      </c>
      <c r="DN42" s="242"/>
      <c r="DO42" s="242">
        <f>SUM(DO28:DO41)</f>
        <v>-133933.63</v>
      </c>
      <c r="DP42" s="241"/>
      <c r="DQ42" s="242">
        <f>SUM(DQ28:DQ41)</f>
        <v>254987.21</v>
      </c>
      <c r="DR42" s="242">
        <f>SUM(DR28:DR41)</f>
        <v>51941.98</v>
      </c>
      <c r="DS42" s="242">
        <f>SUM(DS28:DS41)</f>
        <v>0</v>
      </c>
      <c r="DT42" s="242">
        <f>SUM(DT28:DT41)</f>
        <v>0</v>
      </c>
      <c r="DU42" s="242"/>
      <c r="DV42" s="242">
        <f>SUM(DV28:DV41)</f>
        <v>-305070.80999999994</v>
      </c>
      <c r="DW42" s="241"/>
      <c r="DX42" s="242">
        <f>SUM(DX28:DX41)</f>
        <v>1145731.9100000001</v>
      </c>
      <c r="DY42" s="242">
        <f>SUM(DY28:DY41)</f>
        <v>302452.76999999996</v>
      </c>
      <c r="DZ42" s="242">
        <f>SUM(DZ28:DZ41)</f>
        <v>0</v>
      </c>
      <c r="EA42" s="242">
        <f>SUM(EA28:EA41)</f>
        <v>0</v>
      </c>
      <c r="EB42" s="242"/>
      <c r="EC42" s="242">
        <f>SUM(EC28:EC41)</f>
        <v>836184.68</v>
      </c>
      <c r="ED42" s="241"/>
      <c r="EE42" s="242">
        <f>SUM(EE28:EE41)</f>
        <v>869728.17</v>
      </c>
      <c r="EF42" s="242">
        <f>SUM(EF28:EF41)</f>
        <v>169868.13</v>
      </c>
      <c r="EG42" s="242">
        <f>SUM(EG28:EG41)</f>
        <v>0</v>
      </c>
      <c r="EH42" s="242">
        <f>SUM(EH28:EH41)</f>
        <v>0</v>
      </c>
      <c r="EI42" s="242"/>
      <c r="EJ42" s="242">
        <f>SUM(EJ28:EJ41)</f>
        <v>580596.30000000005</v>
      </c>
      <c r="EK42" s="241"/>
      <c r="EL42" s="242">
        <f>SUM(EL28:EL41)</f>
        <v>605877.08000000007</v>
      </c>
      <c r="EM42" s="242">
        <f>SUM(EM28:EM41)</f>
        <v>99185.47</v>
      </c>
      <c r="EN42" s="242">
        <f>SUM(EN28:EN41)</f>
        <v>0</v>
      </c>
      <c r="EO42" s="242">
        <f>SUM(EO28:EO41)</f>
        <v>0</v>
      </c>
      <c r="EP42" s="242"/>
      <c r="EQ42" s="242">
        <f>SUM(EQ28:EQ41)</f>
        <v>399062.55000000005</v>
      </c>
      <c r="ER42" s="241"/>
      <c r="ES42" s="242">
        <f>SUM(ES28:ES41)</f>
        <v>323857.37</v>
      </c>
      <c r="ET42" s="242">
        <f>SUM(ET28:ET41)</f>
        <v>62549.35</v>
      </c>
      <c r="EU42" s="242">
        <f>SUM(EU28:EU41)</f>
        <v>0</v>
      </c>
      <c r="EV42" s="242">
        <f>SUM(EV28:EV41)</f>
        <v>0</v>
      </c>
      <c r="EW42" s="242"/>
      <c r="EX42" s="242">
        <f>SUM(EX28:EX41)</f>
        <v>233406.72</v>
      </c>
      <c r="EY42" s="241"/>
      <c r="EZ42" s="242">
        <f>SUM(EZ28:EZ41)</f>
        <v>2724653.53</v>
      </c>
      <c r="FA42" s="242">
        <f>SUM(FA28:FA41)</f>
        <v>296271.37000000005</v>
      </c>
      <c r="FB42" s="242">
        <f>SUM(FB28:FB41)</f>
        <v>0</v>
      </c>
      <c r="FC42" s="242">
        <f>SUM(FC28:FC41)</f>
        <v>0</v>
      </c>
      <c r="FD42" s="242"/>
      <c r="FE42" s="242">
        <f>SUM(FE28:FE41)</f>
        <v>2408924.9</v>
      </c>
      <c r="FF42" s="241"/>
      <c r="FG42" s="242">
        <f>SUM(FG28:FG41)</f>
        <v>1980790.14</v>
      </c>
      <c r="FH42" s="242">
        <f>SUM(FH28:FH41)</f>
        <v>208777.58</v>
      </c>
      <c r="FI42" s="242">
        <f>SUM(FI28:FI41)</f>
        <v>0</v>
      </c>
      <c r="FJ42" s="242">
        <f>SUM(FJ28:FJ41)</f>
        <v>0</v>
      </c>
      <c r="FK42" s="242"/>
      <c r="FL42" s="242">
        <f>SUM(FL28:FL41)</f>
        <v>1730567.72</v>
      </c>
      <c r="FM42" s="241"/>
      <c r="FN42" s="242">
        <f>SUM(FN28:FN41)</f>
        <v>1395281.27</v>
      </c>
      <c r="FO42" s="242">
        <f>SUM(FO28:FO41)</f>
        <v>133376.33000000002</v>
      </c>
      <c r="FP42" s="242">
        <f>SUM(FP28:FP41)</f>
        <v>0</v>
      </c>
      <c r="FQ42" s="242">
        <f>SUM(FQ28:FQ41)</f>
        <v>0</v>
      </c>
      <c r="FR42" s="242"/>
      <c r="FS42" s="242">
        <f>SUM(FS28:FS41)</f>
        <v>1222657.6000000001</v>
      </c>
      <c r="FT42" s="241"/>
      <c r="FU42" s="242">
        <f>SUM(FU28:FU41)</f>
        <v>735203.67999999993</v>
      </c>
      <c r="FV42" s="242">
        <f>SUM(FV28:FV41)</f>
        <v>29600.77</v>
      </c>
      <c r="FW42" s="242">
        <f>SUM(FW28:FW41)</f>
        <v>0</v>
      </c>
      <c r="FX42" s="242">
        <f>SUM(FX28:FX41)</f>
        <v>0</v>
      </c>
      <c r="FY42" s="242"/>
      <c r="FZ42" s="242">
        <f>SUM(FZ28:FZ41)</f>
        <v>611804.44999999995</v>
      </c>
      <c r="GB42" s="242">
        <f>SUM(GB28:GB41)</f>
        <v>27726735.66</v>
      </c>
      <c r="GC42" s="242">
        <f>SUM(GC28:GC41)</f>
        <v>200836.98</v>
      </c>
      <c r="GD42" s="242">
        <f>SUM(GD28:GD41)</f>
        <v>0</v>
      </c>
      <c r="GE42" s="242">
        <f>SUM(GE28:GE41)</f>
        <v>0</v>
      </c>
      <c r="GF42" s="242"/>
      <c r="GG42" s="242">
        <f>SUM(GG28:GG41)</f>
        <v>27315572.640000001</v>
      </c>
      <c r="GI42" s="242">
        <f>SUM(GI28:GI41)</f>
        <v>26982330.760000002</v>
      </c>
      <c r="GJ42" s="242">
        <f>SUM(GJ28:GJ41)</f>
        <v>164463.19</v>
      </c>
      <c r="GK42" s="242">
        <f>SUM(GK28:GK41)</f>
        <v>0</v>
      </c>
      <c r="GL42" s="242">
        <f>SUM(GL28:GL41)</f>
        <v>0</v>
      </c>
      <c r="GM42" s="242"/>
      <c r="GN42" s="242">
        <f>SUM(GN28:GN41)</f>
        <v>26687793.950000003</v>
      </c>
      <c r="GP42" s="242">
        <f>SUM(GP28:GP41)</f>
        <v>1905868.6</v>
      </c>
      <c r="GQ42" s="242">
        <f>SUM(GQ28:GQ41)</f>
        <v>123009.98</v>
      </c>
      <c r="GR42" s="242">
        <f>SUM(GR28:GR41)</f>
        <v>0</v>
      </c>
      <c r="GS42" s="242">
        <f>SUM(GS28:GS41)</f>
        <v>0</v>
      </c>
      <c r="GT42" s="242"/>
      <c r="GU42" s="242">
        <f>SUM(GU28:GU41)</f>
        <v>1875878.58</v>
      </c>
      <c r="GW42" s="242">
        <f>SUM(GW28:GW41)</f>
        <v>433548.72</v>
      </c>
      <c r="GX42" s="242">
        <f>SUM(GX28:GX41)</f>
        <v>50268.42</v>
      </c>
      <c r="GY42" s="242">
        <f>SUM(GY28:GY41)</f>
        <v>0</v>
      </c>
      <c r="GZ42" s="242">
        <f>SUM(GZ28:GZ41)</f>
        <v>0</v>
      </c>
      <c r="HA42" s="242"/>
      <c r="HB42" s="242">
        <f>SUM(HB28:HB41)</f>
        <v>330817.13999999996</v>
      </c>
    </row>
    <row r="43" spans="1:211" ht="12.75" customHeight="1">
      <c r="B43" s="82"/>
      <c r="I43" s="82"/>
      <c r="P43" s="82"/>
      <c r="W43" s="82"/>
      <c r="AD43" s="82"/>
      <c r="AK43" s="82"/>
      <c r="AR43" s="82"/>
      <c r="AY43" s="82"/>
      <c r="BF43" s="82"/>
      <c r="BM43" s="82"/>
      <c r="BT43" s="82"/>
      <c r="CA43" s="82"/>
      <c r="CH43" s="82"/>
      <c r="CO43" s="82"/>
      <c r="CV43" s="82"/>
      <c r="DC43" s="82"/>
      <c r="DJ43" s="82"/>
      <c r="DQ43" s="82"/>
      <c r="DX43" s="82"/>
      <c r="EE43" s="82"/>
      <c r="EL43" s="82"/>
      <c r="ES43" s="82"/>
      <c r="EZ43" s="82"/>
      <c r="FG43" s="82"/>
      <c r="FN43" s="82"/>
      <c r="FU43" s="82"/>
      <c r="GB43" s="82"/>
      <c r="GI43" s="82"/>
      <c r="GP43" s="82"/>
      <c r="GW43" s="82"/>
    </row>
    <row r="44" spans="1:211" ht="12.75" customHeight="1">
      <c r="A44" s="270" t="s">
        <v>511</v>
      </c>
      <c r="B44" s="82" t="s">
        <v>2375</v>
      </c>
      <c r="C44" s="270"/>
      <c r="D44" s="270"/>
      <c r="E44" s="270"/>
      <c r="F44" s="270"/>
      <c r="G44" s="270"/>
      <c r="H44" s="270"/>
      <c r="I44" s="82" t="s">
        <v>2375</v>
      </c>
      <c r="J44" s="270"/>
      <c r="K44" s="270"/>
      <c r="L44" s="270"/>
      <c r="M44" s="270"/>
      <c r="N44" s="270"/>
      <c r="O44" s="270"/>
      <c r="P44" s="82" t="s">
        <v>2375</v>
      </c>
      <c r="Q44" s="270"/>
      <c r="R44" s="270"/>
      <c r="S44" s="270"/>
      <c r="T44" s="270"/>
      <c r="U44" s="270"/>
      <c r="V44" s="270"/>
      <c r="W44" s="82" t="s">
        <v>2375</v>
      </c>
      <c r="X44" s="270"/>
      <c r="Y44" s="270"/>
      <c r="Z44" s="270"/>
      <c r="AA44" s="270"/>
      <c r="AB44" s="270"/>
      <c r="AC44" s="270"/>
      <c r="AD44" s="82"/>
      <c r="AE44" s="270"/>
      <c r="AF44" s="270"/>
      <c r="AG44" s="270"/>
      <c r="AH44" s="270"/>
      <c r="AI44" s="270"/>
      <c r="AJ44" s="270"/>
      <c r="AK44" s="82"/>
      <c r="AL44" s="270"/>
      <c r="AM44" s="270"/>
      <c r="AN44" s="270"/>
      <c r="AO44" s="270"/>
      <c r="AP44" s="270"/>
      <c r="AQ44" s="270"/>
      <c r="AR44" s="82"/>
      <c r="AS44" s="270"/>
      <c r="AT44" s="270"/>
      <c r="AU44" s="270"/>
      <c r="AV44" s="270"/>
      <c r="AW44" s="270"/>
      <c r="AX44" s="270"/>
      <c r="AY44" s="82"/>
      <c r="AZ44" s="270"/>
      <c r="BA44" s="270"/>
      <c r="BB44" s="270"/>
      <c r="BC44" s="270"/>
      <c r="BD44" s="270"/>
      <c r="BE44" s="270"/>
      <c r="BF44" s="82"/>
      <c r="BG44" s="270"/>
      <c r="BH44" s="270"/>
      <c r="BI44" s="270"/>
      <c r="BJ44" s="270"/>
      <c r="BK44" s="270"/>
      <c r="BL44" s="270"/>
      <c r="BM44" s="82"/>
      <c r="BN44" s="270"/>
      <c r="BO44" s="270"/>
      <c r="BP44" s="270"/>
      <c r="BQ44" s="270"/>
      <c r="BR44" s="270"/>
      <c r="BS44" s="270"/>
      <c r="BT44" s="82"/>
      <c r="BU44" s="270"/>
      <c r="BV44" s="270"/>
      <c r="BW44" s="270"/>
      <c r="BX44" s="270"/>
      <c r="BY44" s="270"/>
      <c r="BZ44" s="270"/>
      <c r="CA44" s="82"/>
      <c r="CB44" s="270"/>
      <c r="CC44" s="270"/>
      <c r="CD44" s="270"/>
      <c r="CE44" s="270"/>
      <c r="CF44" s="270"/>
      <c r="CG44" s="270"/>
      <c r="CH44" s="82"/>
      <c r="CI44" s="270"/>
      <c r="CJ44" s="270"/>
      <c r="CK44" s="270"/>
      <c r="CL44" s="270"/>
      <c r="CM44" s="270"/>
      <c r="CN44" s="270"/>
      <c r="CO44" s="82"/>
      <c r="CP44" s="270"/>
      <c r="CQ44" s="270"/>
      <c r="CR44" s="270"/>
      <c r="CS44" s="270"/>
      <c r="CT44" s="270"/>
      <c r="CU44" s="270"/>
      <c r="CV44" s="82"/>
      <c r="CW44" s="270"/>
      <c r="CX44" s="270"/>
      <c r="CY44" s="270"/>
      <c r="CZ44" s="270"/>
      <c r="DA44" s="270"/>
      <c r="DB44" s="270"/>
      <c r="DC44" s="82"/>
      <c r="DD44" s="270"/>
      <c r="DE44" s="270"/>
      <c r="DF44" s="270"/>
      <c r="DG44" s="270"/>
      <c r="DH44" s="270"/>
      <c r="DI44" s="270"/>
      <c r="DJ44" s="82"/>
      <c r="DK44" s="270"/>
      <c r="DL44" s="270"/>
      <c r="DM44" s="270"/>
      <c r="DN44" s="270"/>
      <c r="DO44" s="270"/>
      <c r="DP44" s="270"/>
      <c r="DQ44" s="82"/>
      <c r="DR44" s="270"/>
      <c r="DS44" s="270"/>
      <c r="DT44" s="270"/>
      <c r="DU44" s="270"/>
      <c r="DV44" s="270"/>
      <c r="DW44" s="270"/>
      <c r="DX44" s="82"/>
      <c r="DY44" s="270"/>
      <c r="DZ44" s="270"/>
      <c r="EA44" s="270"/>
      <c r="EB44" s="270"/>
      <c r="EC44" s="270"/>
      <c r="ED44" s="270"/>
      <c r="EE44" s="82"/>
      <c r="EF44" s="270"/>
      <c r="EG44" s="270"/>
      <c r="EH44" s="270"/>
      <c r="EI44" s="270"/>
      <c r="EJ44" s="270"/>
      <c r="EK44" s="270"/>
      <c r="EL44" s="82"/>
      <c r="EM44" s="270"/>
      <c r="EN44" s="270"/>
      <c r="EO44" s="270"/>
      <c r="EP44" s="270"/>
      <c r="EQ44" s="270"/>
      <c r="ER44" s="270"/>
      <c r="ES44" s="82"/>
      <c r="ET44" s="270"/>
      <c r="EU44" s="270"/>
      <c r="EV44" s="270"/>
      <c r="EW44" s="270"/>
      <c r="EX44" s="270"/>
      <c r="EY44" s="270"/>
      <c r="EZ44" s="82"/>
      <c r="FA44" s="270"/>
      <c r="FB44" s="270"/>
      <c r="FC44" s="270"/>
      <c r="FD44" s="270"/>
      <c r="FE44" s="270"/>
      <c r="FF44" s="270"/>
      <c r="FG44" s="82"/>
      <c r="FH44" s="270"/>
      <c r="FI44" s="270"/>
      <c r="FJ44" s="270"/>
      <c r="FK44" s="270"/>
      <c r="FL44" s="270"/>
      <c r="FM44" s="270"/>
      <c r="FN44" s="82"/>
      <c r="FO44" s="270"/>
      <c r="FP44" s="270"/>
      <c r="FQ44" s="270"/>
      <c r="FR44" s="270"/>
      <c r="FS44" s="270"/>
      <c r="FT44" s="270"/>
      <c r="FU44" s="82"/>
      <c r="FV44" s="270"/>
      <c r="FW44" s="270"/>
      <c r="FX44" s="270"/>
      <c r="FY44" s="270"/>
      <c r="FZ44" s="270"/>
      <c r="GA44" s="270"/>
      <c r="GB44" s="82"/>
      <c r="GC44" s="270"/>
      <c r="GD44" s="270"/>
      <c r="GE44" s="270"/>
      <c r="GF44" s="270"/>
      <c r="GG44" s="270"/>
      <c r="GH44" s="270"/>
      <c r="GI44" s="82"/>
      <c r="GJ44" s="270"/>
      <c r="GK44" s="270"/>
      <c r="GL44" s="270"/>
      <c r="GM44" s="270"/>
      <c r="GN44" s="270"/>
      <c r="GO44" s="270"/>
      <c r="GP44" s="82"/>
      <c r="GQ44" s="270"/>
      <c r="GR44" s="270"/>
      <c r="GS44" s="270"/>
      <c r="GT44" s="270"/>
      <c r="GU44" s="270"/>
      <c r="GV44" s="270"/>
      <c r="GW44" s="82"/>
      <c r="GX44" s="270"/>
      <c r="GY44" s="270"/>
      <c r="GZ44" s="270"/>
      <c r="HA44" s="270"/>
      <c r="HB44" s="270"/>
      <c r="HC44" s="270"/>
    </row>
    <row r="45" spans="1:211" ht="12.75" customHeight="1">
      <c r="A45" s="273" t="s">
        <v>497</v>
      </c>
      <c r="B45" s="272">
        <f>10822.95+20066.91</f>
        <v>30889.86</v>
      </c>
      <c r="C45" s="272"/>
      <c r="D45" s="273"/>
      <c r="E45" s="273"/>
      <c r="F45" s="273"/>
      <c r="G45" s="82">
        <f t="shared" ref="G45:G53" si="42">SUM(B45:F45)</f>
        <v>30889.86</v>
      </c>
      <c r="H45" s="273"/>
      <c r="I45" s="272">
        <v>8403</v>
      </c>
      <c r="J45" s="272">
        <v>0</v>
      </c>
      <c r="K45" s="273"/>
      <c r="L45" s="273"/>
      <c r="M45" s="273"/>
      <c r="N45" s="82">
        <f t="shared" ref="N45:N53" si="43">SUM(I45:M45)</f>
        <v>8403</v>
      </c>
      <c r="O45" s="273"/>
      <c r="P45" s="272">
        <v>8403</v>
      </c>
      <c r="Q45" s="272">
        <v>0</v>
      </c>
      <c r="R45" s="273"/>
      <c r="S45" s="273"/>
      <c r="T45" s="273"/>
      <c r="U45" s="82">
        <f t="shared" ref="U45:U53" si="44">SUM(P45:T45)</f>
        <v>8403</v>
      </c>
      <c r="V45" s="273"/>
      <c r="W45" s="272">
        <v>-8403</v>
      </c>
      <c r="X45" s="272">
        <v>0</v>
      </c>
      <c r="Y45" s="273"/>
      <c r="Z45" s="273"/>
      <c r="AA45" s="273"/>
      <c r="AB45" s="82">
        <f t="shared" ref="AB45:AB53" si="45">SUM(W45:AA45)</f>
        <v>-8403</v>
      </c>
      <c r="AD45" s="272">
        <v>0</v>
      </c>
      <c r="AE45" s="272">
        <v>0</v>
      </c>
      <c r="AF45" s="273"/>
      <c r="AG45" s="273"/>
      <c r="AH45" s="273"/>
      <c r="AI45" s="82">
        <f t="shared" ref="AI45:AI53" si="46">SUM(AD45:AH45)</f>
        <v>0</v>
      </c>
      <c r="AK45" s="272">
        <v>7288.27</v>
      </c>
      <c r="AL45" s="272">
        <v>0</v>
      </c>
      <c r="AM45" s="273"/>
      <c r="AN45" s="273"/>
      <c r="AO45" s="273"/>
      <c r="AP45" s="82">
        <f t="shared" ref="AP45:AP53" si="47">SUM(AK45:AO45)</f>
        <v>7288.27</v>
      </c>
      <c r="AR45" s="272">
        <v>7288.27</v>
      </c>
      <c r="AS45" s="272">
        <v>0</v>
      </c>
      <c r="AT45" s="273"/>
      <c r="AU45" s="273"/>
      <c r="AV45" s="273"/>
      <c r="AW45" s="82">
        <f t="shared" ref="AW45:AW53" si="48">SUM(AR45:AV45)</f>
        <v>7288.27</v>
      </c>
      <c r="AY45" s="272">
        <v>7288.27</v>
      </c>
      <c r="AZ45" s="272">
        <v>0</v>
      </c>
      <c r="BA45" s="273"/>
      <c r="BB45" s="273"/>
      <c r="BC45" s="273"/>
      <c r="BD45" s="82">
        <f t="shared" ref="BD45:BD53" si="49">SUM(AY45:BC45)</f>
        <v>7288.27</v>
      </c>
      <c r="BF45" s="272">
        <v>0</v>
      </c>
      <c r="BG45" s="272">
        <v>0</v>
      </c>
      <c r="BH45" s="273"/>
      <c r="BI45" s="273"/>
      <c r="BJ45" s="273"/>
      <c r="BK45" s="82">
        <f t="shared" ref="BK45:BK53" si="50">SUM(BF45:BJ45)</f>
        <v>0</v>
      </c>
      <c r="BM45" s="272">
        <v>38658.400000000001</v>
      </c>
      <c r="BN45" s="272">
        <v>0</v>
      </c>
      <c r="BO45" s="273"/>
      <c r="BP45" s="273"/>
      <c r="BQ45" s="273"/>
      <c r="BR45" s="82">
        <f t="shared" ref="BR45:BR53" si="51">SUM(BM45:BQ45)</f>
        <v>38658.400000000001</v>
      </c>
      <c r="BT45" s="272">
        <v>38658.400000000001</v>
      </c>
      <c r="BU45" s="272">
        <v>0</v>
      </c>
      <c r="BV45" s="273"/>
      <c r="BW45" s="273"/>
      <c r="BX45" s="273"/>
      <c r="BY45" s="82">
        <f t="shared" ref="BY45:BY53" si="52">SUM(BT45:BX45)</f>
        <v>38658.400000000001</v>
      </c>
      <c r="CA45" s="272">
        <v>38658.400000000001</v>
      </c>
      <c r="CB45" s="272">
        <v>0</v>
      </c>
      <c r="CC45" s="273"/>
      <c r="CD45" s="273"/>
      <c r="CE45" s="273"/>
      <c r="CF45" s="82">
        <f t="shared" ref="CF45:CF53" si="53">SUM(CA45:CE45)</f>
        <v>38658.400000000001</v>
      </c>
      <c r="CH45" s="272">
        <v>29782.400000000001</v>
      </c>
      <c r="CI45" s="272">
        <v>0</v>
      </c>
      <c r="CJ45" s="273"/>
      <c r="CK45" s="273"/>
      <c r="CL45" s="273"/>
      <c r="CM45" s="82">
        <f t="shared" ref="CM45:CM53" si="54">SUM(CH45:CL45)</f>
        <v>29782.400000000001</v>
      </c>
      <c r="CO45" s="272">
        <v>0</v>
      </c>
      <c r="CP45" s="272">
        <v>0</v>
      </c>
      <c r="CQ45" s="273"/>
      <c r="CR45" s="273"/>
      <c r="CS45" s="273"/>
      <c r="CT45" s="82">
        <f t="shared" ref="CT45:CT53" si="55">SUM(CO45:CS45)</f>
        <v>0</v>
      </c>
      <c r="CV45" s="272">
        <v>290864.90000000002</v>
      </c>
      <c r="CW45" s="272">
        <v>4075200</v>
      </c>
      <c r="CX45" s="273"/>
      <c r="CY45" s="273"/>
      <c r="CZ45" s="273"/>
      <c r="DA45" s="82">
        <f t="shared" ref="DA45:DA53" si="56">SUM(CV45:CZ45)</f>
        <v>4366064.9000000004</v>
      </c>
      <c r="DC45" s="272">
        <v>290864.90000000002</v>
      </c>
      <c r="DD45" s="272">
        <v>4075200</v>
      </c>
      <c r="DE45" s="273"/>
      <c r="DF45" s="273"/>
      <c r="DG45" s="273"/>
      <c r="DH45" s="82">
        <f t="shared" ref="DH45:DH53" si="57">SUM(DC45:DG45)</f>
        <v>4366064.9000000004</v>
      </c>
      <c r="DJ45" s="272">
        <v>169059.20000000001</v>
      </c>
      <c r="DK45" s="272">
        <v>2887920</v>
      </c>
      <c r="DL45" s="273"/>
      <c r="DM45" s="273"/>
      <c r="DN45" s="273"/>
      <c r="DO45" s="82">
        <f t="shared" ref="DO45:DO53" si="58">SUM(DJ45:DN45)</f>
        <v>3056979.2</v>
      </c>
      <c r="DQ45" s="272">
        <v>137882</v>
      </c>
      <c r="DR45" s="272">
        <v>0</v>
      </c>
      <c r="DS45" s="273"/>
      <c r="DT45" s="273"/>
      <c r="DU45" s="273"/>
      <c r="DV45" s="82">
        <f t="shared" ref="DV45:DV53" si="59">SUM(DQ45:DU45)</f>
        <v>137882</v>
      </c>
      <c r="DX45" s="82">
        <v>7213913.6600000001</v>
      </c>
      <c r="DY45" s="272">
        <v>12918143.75</v>
      </c>
      <c r="DZ45" s="273"/>
      <c r="EA45" s="273"/>
      <c r="EB45" s="273"/>
      <c r="EC45" s="82">
        <f t="shared" ref="EC45:EC53" si="60">SUM(DX45:EB45)</f>
        <v>20132057.41</v>
      </c>
      <c r="EE45" s="82">
        <v>6637239.7300000004</v>
      </c>
      <c r="EF45" s="272">
        <v>11287023.23</v>
      </c>
      <c r="EG45" s="273"/>
      <c r="EH45" s="273"/>
      <c r="EI45" s="273"/>
      <c r="EJ45" s="82">
        <f t="shared" ref="EJ45:EJ53" si="61">SUM(EE45:EI45)</f>
        <v>17924262.960000001</v>
      </c>
      <c r="EL45" s="82">
        <v>6611795.1299999999</v>
      </c>
      <c r="EM45" s="272">
        <v>7823177.2300000004</v>
      </c>
      <c r="EN45" s="273"/>
      <c r="EO45" s="273"/>
      <c r="EP45" s="273"/>
      <c r="EQ45" s="82">
        <f t="shared" ref="EQ45:EQ53" si="62">SUM(EL45:EP45)</f>
        <v>14434972.359999999</v>
      </c>
      <c r="ES45" s="82">
        <v>43587.55</v>
      </c>
      <c r="ET45" s="272">
        <f>176752.35+769200</f>
        <v>945952.35</v>
      </c>
      <c r="EU45" s="273"/>
      <c r="EV45" s="273"/>
      <c r="EW45" s="273"/>
      <c r="EX45" s="82">
        <f t="shared" ref="EX45:EX53" si="63">SUM(ES45:EW45)</f>
        <v>989539.9</v>
      </c>
      <c r="EZ45" s="82">
        <v>114593.64</v>
      </c>
      <c r="FA45" s="272">
        <v>5923479.2599999998</v>
      </c>
      <c r="FB45" s="273"/>
      <c r="FC45" s="273"/>
      <c r="FD45" s="273"/>
      <c r="FE45" s="82">
        <f t="shared" ref="FE45:FE53" si="64">SUM(EZ45:FD45)</f>
        <v>6038072.8999999994</v>
      </c>
      <c r="FG45" s="82">
        <v>85018.49</v>
      </c>
      <c r="FH45" s="272">
        <v>5305592.79</v>
      </c>
      <c r="FI45" s="273"/>
      <c r="FJ45" s="273"/>
      <c r="FK45" s="273"/>
      <c r="FL45" s="82">
        <f t="shared" ref="FL45:FL53" si="65">SUM(FG45:FK45)</f>
        <v>5390611.2800000003</v>
      </c>
      <c r="FN45" s="82">
        <v>35480.400000000001</v>
      </c>
      <c r="FO45" s="8">
        <v>4010379.39</v>
      </c>
      <c r="FP45" s="273"/>
      <c r="FQ45" s="273"/>
      <c r="FR45" s="273"/>
      <c r="FS45">
        <f t="shared" ref="FS45:FS53" si="66">SUM(FN45:FQ45)</f>
        <v>4045859.79</v>
      </c>
      <c r="FU45" s="82">
        <v>0</v>
      </c>
      <c r="FV45" s="8">
        <v>1835983.6</v>
      </c>
      <c r="FW45" s="273"/>
      <c r="FX45" s="273"/>
      <c r="FY45" s="273"/>
      <c r="FZ45">
        <f t="shared" ref="FZ45:FZ53" si="67">SUM(FU45:FX45)</f>
        <v>1835983.6</v>
      </c>
      <c r="GA45" s="273"/>
      <c r="GB45" s="82">
        <v>233133.49</v>
      </c>
      <c r="GC45" s="8">
        <v>5653852.5</v>
      </c>
      <c r="GD45" s="273"/>
      <c r="GE45" s="273"/>
      <c r="GF45" s="273"/>
      <c r="GG45">
        <f t="shared" ref="GG45:GG53" si="68">SUM(GB45:GE45)</f>
        <v>5886985.9900000002</v>
      </c>
      <c r="GH45" s="273"/>
      <c r="GI45" s="82">
        <v>91669.9</v>
      </c>
      <c r="GJ45" s="387">
        <f>3883034.5+467700</f>
        <v>4350734.5</v>
      </c>
      <c r="GK45" s="273"/>
      <c r="GL45" s="273"/>
      <c r="GM45" s="273"/>
      <c r="GN45">
        <f t="shared" ref="GN45:GN53" si="69">SUM(GI45:GL45)</f>
        <v>4442404.4000000004</v>
      </c>
      <c r="GO45" s="273"/>
      <c r="GP45" s="82">
        <v>77957.100000000006</v>
      </c>
      <c r="GQ45" s="281">
        <v>2983730</v>
      </c>
      <c r="GR45" s="273"/>
      <c r="GS45" s="273"/>
      <c r="GT45" s="273"/>
      <c r="GU45">
        <f t="shared" ref="GU45:GU53" si="70">SUM(GP45:GS45)</f>
        <v>3061687.1</v>
      </c>
      <c r="GV45" s="273"/>
      <c r="GW45" s="82">
        <v>0</v>
      </c>
      <c r="GX45" s="281">
        <v>1541630</v>
      </c>
      <c r="GY45" s="273"/>
      <c r="GZ45" s="273"/>
      <c r="HA45" s="273"/>
      <c r="HB45">
        <f t="shared" ref="HB45:HB53" si="71">SUM(GW45:GZ45)</f>
        <v>1541630</v>
      </c>
      <c r="HC45" s="273"/>
    </row>
    <row r="46" spans="1:211" ht="12.75" customHeight="1">
      <c r="A46" s="273" t="s">
        <v>498</v>
      </c>
      <c r="B46" s="82"/>
      <c r="C46" s="273"/>
      <c r="D46" s="273"/>
      <c r="E46" s="273"/>
      <c r="F46" s="273"/>
      <c r="G46" s="82">
        <f t="shared" si="42"/>
        <v>0</v>
      </c>
      <c r="H46" s="273"/>
      <c r="I46" s="82"/>
      <c r="J46" s="273"/>
      <c r="K46" s="273"/>
      <c r="L46" s="273"/>
      <c r="M46" s="273"/>
      <c r="N46" s="82">
        <f t="shared" si="43"/>
        <v>0</v>
      </c>
      <c r="O46" s="273"/>
      <c r="P46" s="82"/>
      <c r="Q46" s="273"/>
      <c r="R46" s="273"/>
      <c r="S46" s="273"/>
      <c r="T46" s="273"/>
      <c r="U46" s="82">
        <f t="shared" si="44"/>
        <v>0</v>
      </c>
      <c r="V46" s="273"/>
      <c r="W46" s="82"/>
      <c r="X46" s="273"/>
      <c r="Y46" s="273"/>
      <c r="Z46" s="273"/>
      <c r="AA46" s="273"/>
      <c r="AB46" s="82">
        <f t="shared" si="45"/>
        <v>0</v>
      </c>
      <c r="AD46" s="82"/>
      <c r="AE46" s="273"/>
      <c r="AF46" s="273"/>
      <c r="AG46" s="273"/>
      <c r="AH46" s="273"/>
      <c r="AI46" s="82">
        <f t="shared" si="46"/>
        <v>0</v>
      </c>
      <c r="AK46" s="82"/>
      <c r="AL46" s="273"/>
      <c r="AM46" s="273"/>
      <c r="AN46" s="273"/>
      <c r="AO46" s="273"/>
      <c r="AP46" s="82">
        <f t="shared" si="47"/>
        <v>0</v>
      </c>
      <c r="AR46" s="82"/>
      <c r="AS46" s="273"/>
      <c r="AT46" s="273"/>
      <c r="AU46" s="273"/>
      <c r="AV46" s="273"/>
      <c r="AW46" s="82">
        <f t="shared" si="48"/>
        <v>0</v>
      </c>
      <c r="AY46" s="82"/>
      <c r="AZ46" s="273"/>
      <c r="BA46" s="273"/>
      <c r="BB46" s="273"/>
      <c r="BC46" s="273"/>
      <c r="BD46" s="82">
        <f t="shared" si="49"/>
        <v>0</v>
      </c>
      <c r="BF46" s="82"/>
      <c r="BG46" s="273"/>
      <c r="BH46" s="273"/>
      <c r="BI46" s="273"/>
      <c r="BJ46" s="273"/>
      <c r="BK46" s="82">
        <f t="shared" si="50"/>
        <v>0</v>
      </c>
      <c r="BM46" s="82"/>
      <c r="BN46" s="273"/>
      <c r="BO46" s="273"/>
      <c r="BP46" s="273"/>
      <c r="BQ46" s="273"/>
      <c r="BR46" s="82">
        <f t="shared" si="51"/>
        <v>0</v>
      </c>
      <c r="BT46" s="82"/>
      <c r="BU46" s="273"/>
      <c r="BV46" s="273"/>
      <c r="BW46" s="273"/>
      <c r="BX46" s="273"/>
      <c r="BY46" s="82">
        <f t="shared" si="52"/>
        <v>0</v>
      </c>
      <c r="CA46" s="82"/>
      <c r="CB46" s="273"/>
      <c r="CC46" s="273"/>
      <c r="CD46" s="273"/>
      <c r="CE46" s="273"/>
      <c r="CF46" s="82">
        <f t="shared" si="53"/>
        <v>0</v>
      </c>
      <c r="CH46" s="82"/>
      <c r="CI46" s="273"/>
      <c r="CJ46" s="273"/>
      <c r="CK46" s="273"/>
      <c r="CL46" s="273"/>
      <c r="CM46" s="82">
        <f t="shared" si="54"/>
        <v>0</v>
      </c>
      <c r="CO46" s="82"/>
      <c r="CP46" s="273"/>
      <c r="CQ46" s="273"/>
      <c r="CR46" s="273"/>
      <c r="CS46" s="273"/>
      <c r="CT46" s="82">
        <f t="shared" si="55"/>
        <v>0</v>
      </c>
      <c r="CV46" s="82"/>
      <c r="CW46" s="273"/>
      <c r="CX46" s="273"/>
      <c r="CY46" s="273"/>
      <c r="CZ46" s="273"/>
      <c r="DA46" s="82">
        <f t="shared" si="56"/>
        <v>0</v>
      </c>
      <c r="DC46" s="82"/>
      <c r="DD46" s="273"/>
      <c r="DE46" s="273"/>
      <c r="DF46" s="273"/>
      <c r="DG46" s="273"/>
      <c r="DH46" s="82">
        <f t="shared" si="57"/>
        <v>0</v>
      </c>
      <c r="DJ46" s="82"/>
      <c r="DK46" s="273"/>
      <c r="DL46" s="273"/>
      <c r="DM46" s="273"/>
      <c r="DN46" s="273"/>
      <c r="DO46" s="82">
        <f t="shared" si="58"/>
        <v>0</v>
      </c>
      <c r="DQ46" s="82"/>
      <c r="DR46" s="273"/>
      <c r="DS46" s="273"/>
      <c r="DT46" s="273"/>
      <c r="DU46" s="273"/>
      <c r="DV46" s="82">
        <f t="shared" si="59"/>
        <v>0</v>
      </c>
      <c r="DX46" s="82"/>
      <c r="DY46" s="273"/>
      <c r="DZ46" s="273"/>
      <c r="EA46" s="273"/>
      <c r="EB46" s="273"/>
      <c r="EC46" s="82">
        <f t="shared" si="60"/>
        <v>0</v>
      </c>
      <c r="EE46" s="82"/>
      <c r="EF46" s="273"/>
      <c r="EG46" s="273"/>
      <c r="EH46" s="273"/>
      <c r="EI46" s="273"/>
      <c r="EJ46" s="82">
        <f t="shared" si="61"/>
        <v>0</v>
      </c>
      <c r="EL46" s="82"/>
      <c r="EM46" s="273"/>
      <c r="EN46" s="273"/>
      <c r="EO46" s="273"/>
      <c r="EP46" s="273"/>
      <c r="EQ46" s="82">
        <f t="shared" si="62"/>
        <v>0</v>
      </c>
      <c r="ES46" s="82"/>
      <c r="ET46" s="273"/>
      <c r="EU46" s="273"/>
      <c r="EV46" s="273"/>
      <c r="EW46" s="273"/>
      <c r="EX46" s="82">
        <f t="shared" si="63"/>
        <v>0</v>
      </c>
      <c r="EZ46" s="82"/>
      <c r="FA46" s="273"/>
      <c r="FB46" s="273"/>
      <c r="FC46" s="273"/>
      <c r="FD46" s="273"/>
      <c r="FE46" s="82">
        <f t="shared" si="64"/>
        <v>0</v>
      </c>
      <c r="FG46" s="82"/>
      <c r="FH46" s="273"/>
      <c r="FI46" s="273"/>
      <c r="FJ46" s="273"/>
      <c r="FK46" s="273"/>
      <c r="FL46" s="82">
        <f t="shared" si="65"/>
        <v>0</v>
      </c>
      <c r="FN46" s="82"/>
      <c r="FO46" s="273"/>
      <c r="FP46" s="273"/>
      <c r="FQ46" s="273"/>
      <c r="FR46" s="273"/>
      <c r="FS46">
        <f t="shared" si="66"/>
        <v>0</v>
      </c>
      <c r="FU46" s="82"/>
      <c r="FV46" s="273"/>
      <c r="FW46" s="273"/>
      <c r="FX46" s="273"/>
      <c r="FY46" s="273"/>
      <c r="FZ46">
        <f t="shared" si="67"/>
        <v>0</v>
      </c>
      <c r="GA46" s="273"/>
      <c r="GB46" s="82"/>
      <c r="GC46" s="273"/>
      <c r="GD46" s="273"/>
      <c r="GE46" s="273"/>
      <c r="GF46" s="273"/>
      <c r="GG46">
        <f t="shared" si="68"/>
        <v>0</v>
      </c>
      <c r="GH46" s="273"/>
      <c r="GI46" s="82"/>
      <c r="GJ46" s="273"/>
      <c r="GK46" s="273"/>
      <c r="GL46" s="273"/>
      <c r="GM46" s="273"/>
      <c r="GN46">
        <f t="shared" si="69"/>
        <v>0</v>
      </c>
      <c r="GO46" s="273"/>
      <c r="GP46" s="82"/>
      <c r="GQ46" s="273"/>
      <c r="GR46" s="273"/>
      <c r="GS46" s="273"/>
      <c r="GT46" s="273"/>
      <c r="GU46">
        <f t="shared" si="70"/>
        <v>0</v>
      </c>
      <c r="GV46" s="273"/>
      <c r="GW46" s="82"/>
      <c r="GX46" s="273"/>
      <c r="GY46" s="273"/>
      <c r="GZ46" s="273"/>
      <c r="HA46" s="273"/>
      <c r="HB46">
        <f t="shared" si="71"/>
        <v>0</v>
      </c>
      <c r="HC46" s="273"/>
    </row>
    <row r="47" spans="1:211" ht="12.75" customHeight="1">
      <c r="A47" s="273" t="s">
        <v>499</v>
      </c>
      <c r="B47" s="82"/>
      <c r="C47" s="273"/>
      <c r="D47" s="273"/>
      <c r="E47" s="273"/>
      <c r="F47" s="273"/>
      <c r="G47" s="82">
        <f t="shared" si="42"/>
        <v>0</v>
      </c>
      <c r="H47" s="273"/>
      <c r="I47" s="82"/>
      <c r="J47" s="273"/>
      <c r="K47" s="273"/>
      <c r="L47" s="273"/>
      <c r="M47" s="273"/>
      <c r="N47" s="82">
        <f t="shared" si="43"/>
        <v>0</v>
      </c>
      <c r="O47" s="273"/>
      <c r="P47" s="82"/>
      <c r="Q47" s="273"/>
      <c r="R47" s="273"/>
      <c r="S47" s="273"/>
      <c r="T47" s="273"/>
      <c r="U47" s="82">
        <f t="shared" si="44"/>
        <v>0</v>
      </c>
      <c r="V47" s="273"/>
      <c r="W47" s="82"/>
      <c r="X47" s="273"/>
      <c r="Y47" s="273"/>
      <c r="Z47" s="273"/>
      <c r="AA47" s="273"/>
      <c r="AB47" s="82">
        <f t="shared" si="45"/>
        <v>0</v>
      </c>
      <c r="AD47" s="82"/>
      <c r="AE47" s="273"/>
      <c r="AF47" s="273"/>
      <c r="AG47" s="273"/>
      <c r="AH47" s="273"/>
      <c r="AI47" s="82">
        <f t="shared" si="46"/>
        <v>0</v>
      </c>
      <c r="AK47" s="82"/>
      <c r="AL47" s="273"/>
      <c r="AM47" s="273"/>
      <c r="AN47" s="273"/>
      <c r="AO47" s="273"/>
      <c r="AP47" s="82">
        <f t="shared" si="47"/>
        <v>0</v>
      </c>
      <c r="AR47" s="82"/>
      <c r="AS47" s="273"/>
      <c r="AT47" s="273"/>
      <c r="AU47" s="273"/>
      <c r="AV47" s="273"/>
      <c r="AW47" s="82">
        <f t="shared" si="48"/>
        <v>0</v>
      </c>
      <c r="AY47" s="82"/>
      <c r="AZ47" s="273"/>
      <c r="BA47" s="273"/>
      <c r="BB47" s="273"/>
      <c r="BC47" s="273"/>
      <c r="BD47" s="82">
        <f t="shared" si="49"/>
        <v>0</v>
      </c>
      <c r="BF47" s="82"/>
      <c r="BG47" s="273"/>
      <c r="BH47" s="273"/>
      <c r="BI47" s="273"/>
      <c r="BJ47" s="273"/>
      <c r="BK47" s="82">
        <f t="shared" si="50"/>
        <v>0</v>
      </c>
      <c r="BM47" s="82"/>
      <c r="BN47" s="273"/>
      <c r="BO47" s="273"/>
      <c r="BP47" s="273"/>
      <c r="BQ47" s="273"/>
      <c r="BR47" s="82">
        <f t="shared" si="51"/>
        <v>0</v>
      </c>
      <c r="BT47" s="82"/>
      <c r="BU47" s="273"/>
      <c r="BV47" s="273"/>
      <c r="BW47" s="273"/>
      <c r="BX47" s="273"/>
      <c r="BY47" s="82">
        <f t="shared" si="52"/>
        <v>0</v>
      </c>
      <c r="CA47" s="82"/>
      <c r="CB47" s="273"/>
      <c r="CC47" s="273"/>
      <c r="CD47" s="273"/>
      <c r="CE47" s="273"/>
      <c r="CF47" s="82">
        <f t="shared" si="53"/>
        <v>0</v>
      </c>
      <c r="CH47" s="82"/>
      <c r="CI47" s="273"/>
      <c r="CJ47" s="273"/>
      <c r="CK47" s="273"/>
      <c r="CL47" s="273"/>
      <c r="CM47" s="82">
        <f t="shared" si="54"/>
        <v>0</v>
      </c>
      <c r="CO47" s="82"/>
      <c r="CP47" s="273"/>
      <c r="CQ47" s="273"/>
      <c r="CR47" s="273"/>
      <c r="CS47" s="273"/>
      <c r="CT47" s="82">
        <f t="shared" si="55"/>
        <v>0</v>
      </c>
      <c r="CV47" s="82"/>
      <c r="CW47" s="273"/>
      <c r="CX47" s="273"/>
      <c r="CY47" s="273"/>
      <c r="CZ47" s="273"/>
      <c r="DA47" s="82">
        <f t="shared" si="56"/>
        <v>0</v>
      </c>
      <c r="DC47" s="82"/>
      <c r="DD47" s="273"/>
      <c r="DE47" s="273"/>
      <c r="DF47" s="273"/>
      <c r="DG47" s="273"/>
      <c r="DH47" s="82">
        <f t="shared" si="57"/>
        <v>0</v>
      </c>
      <c r="DJ47" s="82"/>
      <c r="DK47" s="273"/>
      <c r="DL47" s="273"/>
      <c r="DM47" s="273"/>
      <c r="DN47" s="273"/>
      <c r="DO47" s="82">
        <f t="shared" si="58"/>
        <v>0</v>
      </c>
      <c r="DQ47" s="82"/>
      <c r="DR47" s="273"/>
      <c r="DS47" s="273"/>
      <c r="DT47" s="273"/>
      <c r="DU47" s="273"/>
      <c r="DV47" s="82">
        <f t="shared" si="59"/>
        <v>0</v>
      </c>
      <c r="DX47" s="82"/>
      <c r="DY47" s="273"/>
      <c r="DZ47" s="273"/>
      <c r="EA47" s="273"/>
      <c r="EB47" s="273"/>
      <c r="EC47" s="82">
        <f t="shared" si="60"/>
        <v>0</v>
      </c>
      <c r="EE47" s="82"/>
      <c r="EF47" s="273"/>
      <c r="EG47" s="273"/>
      <c r="EH47" s="273"/>
      <c r="EI47" s="273"/>
      <c r="EJ47" s="82">
        <f t="shared" si="61"/>
        <v>0</v>
      </c>
      <c r="EL47" s="82"/>
      <c r="EM47" s="273"/>
      <c r="EN47" s="273"/>
      <c r="EO47" s="273"/>
      <c r="EP47" s="273"/>
      <c r="EQ47" s="82">
        <f t="shared" si="62"/>
        <v>0</v>
      </c>
      <c r="ES47" s="82"/>
      <c r="ET47" s="273"/>
      <c r="EU47" s="273"/>
      <c r="EV47" s="273"/>
      <c r="EW47" s="273"/>
      <c r="EX47" s="82">
        <f t="shared" si="63"/>
        <v>0</v>
      </c>
      <c r="EZ47" s="82"/>
      <c r="FA47" s="273"/>
      <c r="FB47" s="273"/>
      <c r="FC47" s="273"/>
      <c r="FD47" s="273"/>
      <c r="FE47" s="82">
        <f t="shared" si="64"/>
        <v>0</v>
      </c>
      <c r="FG47" s="82"/>
      <c r="FH47" s="273"/>
      <c r="FI47" s="273"/>
      <c r="FJ47" s="273"/>
      <c r="FK47" s="273"/>
      <c r="FL47" s="82">
        <f t="shared" si="65"/>
        <v>0</v>
      </c>
      <c r="FN47" s="82"/>
      <c r="FO47" s="273"/>
      <c r="FP47" s="273"/>
      <c r="FQ47" s="273"/>
      <c r="FR47" s="273"/>
      <c r="FS47">
        <f t="shared" si="66"/>
        <v>0</v>
      </c>
      <c r="FU47" s="82"/>
      <c r="FV47" s="273"/>
      <c r="FW47" s="273"/>
      <c r="FX47" s="273"/>
      <c r="FY47" s="273"/>
      <c r="FZ47">
        <f t="shared" si="67"/>
        <v>0</v>
      </c>
      <c r="GA47" s="273"/>
      <c r="GB47" s="82"/>
      <c r="GC47" s="273"/>
      <c r="GD47" s="273"/>
      <c r="GE47" s="273"/>
      <c r="GF47" s="273"/>
      <c r="GG47">
        <f t="shared" si="68"/>
        <v>0</v>
      </c>
      <c r="GH47" s="273"/>
      <c r="GI47" s="82"/>
      <c r="GJ47" s="273"/>
      <c r="GK47" s="273"/>
      <c r="GL47" s="273"/>
      <c r="GM47" s="273"/>
      <c r="GN47">
        <f t="shared" si="69"/>
        <v>0</v>
      </c>
      <c r="GO47" s="273"/>
      <c r="GP47" s="82"/>
      <c r="GQ47" s="273"/>
      <c r="GR47" s="273"/>
      <c r="GS47" s="273"/>
      <c r="GT47" s="273"/>
      <c r="GU47">
        <f t="shared" si="70"/>
        <v>0</v>
      </c>
      <c r="GV47" s="273"/>
      <c r="GW47" s="82"/>
      <c r="GX47" s="273"/>
      <c r="GY47" s="273"/>
      <c r="GZ47" s="273"/>
      <c r="HA47" s="273"/>
      <c r="HB47">
        <f t="shared" si="71"/>
        <v>0</v>
      </c>
      <c r="HC47" s="273"/>
    </row>
    <row r="48" spans="1:211" ht="12.75" customHeight="1">
      <c r="A48" s="273" t="s">
        <v>512</v>
      </c>
      <c r="B48" s="82"/>
      <c r="C48" s="273"/>
      <c r="D48" s="273"/>
      <c r="E48" s="273"/>
      <c r="F48" s="273"/>
      <c r="G48" s="82">
        <f t="shared" si="42"/>
        <v>0</v>
      </c>
      <c r="H48" s="273"/>
      <c r="I48" s="82"/>
      <c r="J48" s="273"/>
      <c r="K48" s="273"/>
      <c r="L48" s="273"/>
      <c r="M48" s="273"/>
      <c r="N48" s="82">
        <f t="shared" si="43"/>
        <v>0</v>
      </c>
      <c r="O48" s="273"/>
      <c r="P48" s="82"/>
      <c r="Q48" s="273"/>
      <c r="R48" s="273"/>
      <c r="S48" s="273"/>
      <c r="T48" s="273"/>
      <c r="U48" s="82">
        <f t="shared" si="44"/>
        <v>0</v>
      </c>
      <c r="V48" s="273"/>
      <c r="W48" s="82"/>
      <c r="X48" s="273"/>
      <c r="Y48" s="273"/>
      <c r="Z48" s="273"/>
      <c r="AA48" s="273"/>
      <c r="AB48" s="82">
        <f t="shared" si="45"/>
        <v>0</v>
      </c>
      <c r="AD48" s="82"/>
      <c r="AE48" s="273"/>
      <c r="AF48" s="273"/>
      <c r="AG48" s="273"/>
      <c r="AH48" s="273"/>
      <c r="AI48" s="82">
        <f t="shared" si="46"/>
        <v>0</v>
      </c>
      <c r="AK48" s="82"/>
      <c r="AL48" s="273"/>
      <c r="AM48" s="273"/>
      <c r="AN48" s="273"/>
      <c r="AO48" s="273"/>
      <c r="AP48" s="82">
        <f t="shared" si="47"/>
        <v>0</v>
      </c>
      <c r="AR48" s="82"/>
      <c r="AS48" s="273"/>
      <c r="AT48" s="273"/>
      <c r="AU48" s="273"/>
      <c r="AV48" s="273"/>
      <c r="AW48" s="82">
        <f t="shared" si="48"/>
        <v>0</v>
      </c>
      <c r="AY48" s="82"/>
      <c r="AZ48" s="273"/>
      <c r="BA48" s="273"/>
      <c r="BB48" s="273"/>
      <c r="BC48" s="273"/>
      <c r="BD48" s="82">
        <f t="shared" si="49"/>
        <v>0</v>
      </c>
      <c r="BF48" s="82"/>
      <c r="BG48" s="273"/>
      <c r="BH48" s="273"/>
      <c r="BI48" s="273"/>
      <c r="BJ48" s="273"/>
      <c r="BK48" s="82">
        <f t="shared" si="50"/>
        <v>0</v>
      </c>
      <c r="BM48" s="82"/>
      <c r="BN48" s="273"/>
      <c r="BO48" s="273"/>
      <c r="BP48" s="273"/>
      <c r="BQ48" s="273"/>
      <c r="BR48" s="82">
        <f t="shared" si="51"/>
        <v>0</v>
      </c>
      <c r="BT48" s="82"/>
      <c r="BU48" s="273"/>
      <c r="BV48" s="273"/>
      <c r="BW48" s="273"/>
      <c r="BX48" s="273"/>
      <c r="BY48" s="82">
        <f t="shared" si="52"/>
        <v>0</v>
      </c>
      <c r="CA48" s="82"/>
      <c r="CB48" s="273"/>
      <c r="CC48" s="273"/>
      <c r="CD48" s="273"/>
      <c r="CE48" s="273"/>
      <c r="CF48" s="82">
        <f t="shared" si="53"/>
        <v>0</v>
      </c>
      <c r="CH48" s="82"/>
      <c r="CI48" s="273"/>
      <c r="CJ48" s="273"/>
      <c r="CK48" s="273"/>
      <c r="CL48" s="273"/>
      <c r="CM48" s="82">
        <f t="shared" si="54"/>
        <v>0</v>
      </c>
      <c r="CO48" s="82"/>
      <c r="CP48" s="273"/>
      <c r="CQ48" s="273"/>
      <c r="CR48" s="273"/>
      <c r="CS48" s="273"/>
      <c r="CT48" s="82">
        <f t="shared" si="55"/>
        <v>0</v>
      </c>
      <c r="CV48" s="82"/>
      <c r="CW48" s="273"/>
      <c r="CX48" s="273"/>
      <c r="CY48" s="273"/>
      <c r="CZ48" s="273"/>
      <c r="DA48" s="82">
        <f t="shared" si="56"/>
        <v>0</v>
      </c>
      <c r="DC48" s="82"/>
      <c r="DD48" s="273"/>
      <c r="DE48" s="273"/>
      <c r="DF48" s="273"/>
      <c r="DG48" s="273"/>
      <c r="DH48" s="82">
        <f t="shared" si="57"/>
        <v>0</v>
      </c>
      <c r="DJ48" s="82"/>
      <c r="DK48" s="273"/>
      <c r="DL48" s="273"/>
      <c r="DM48" s="273"/>
      <c r="DN48" s="273"/>
      <c r="DO48" s="82">
        <f t="shared" si="58"/>
        <v>0</v>
      </c>
      <c r="DQ48" s="82"/>
      <c r="DR48" s="273"/>
      <c r="DS48" s="273"/>
      <c r="DT48" s="273"/>
      <c r="DU48" s="273"/>
      <c r="DV48" s="82">
        <f t="shared" si="59"/>
        <v>0</v>
      </c>
      <c r="DX48" s="82"/>
      <c r="DY48" s="273"/>
      <c r="DZ48" s="273"/>
      <c r="EA48" s="273"/>
      <c r="EB48" s="273"/>
      <c r="EC48" s="82">
        <f t="shared" si="60"/>
        <v>0</v>
      </c>
      <c r="EE48" s="82"/>
      <c r="EF48" s="273"/>
      <c r="EG48" s="273"/>
      <c r="EH48" s="273"/>
      <c r="EI48" s="273"/>
      <c r="EJ48" s="82">
        <f t="shared" si="61"/>
        <v>0</v>
      </c>
      <c r="EL48" s="82"/>
      <c r="EM48" s="273"/>
      <c r="EN48" s="273"/>
      <c r="EO48" s="273"/>
      <c r="EP48" s="273"/>
      <c r="EQ48" s="82">
        <f t="shared" si="62"/>
        <v>0</v>
      </c>
      <c r="ES48" s="82"/>
      <c r="ET48" s="273"/>
      <c r="EU48" s="273"/>
      <c r="EV48" s="273"/>
      <c r="EW48" s="273"/>
      <c r="EX48" s="82">
        <f t="shared" si="63"/>
        <v>0</v>
      </c>
      <c r="EZ48" s="82"/>
      <c r="FA48" s="273"/>
      <c r="FB48" s="273"/>
      <c r="FC48" s="273"/>
      <c r="FD48" s="273"/>
      <c r="FE48" s="82">
        <f t="shared" si="64"/>
        <v>0</v>
      </c>
      <c r="FG48" s="82"/>
      <c r="FH48" s="273"/>
      <c r="FI48" s="273"/>
      <c r="FJ48" s="273"/>
      <c r="FK48" s="273"/>
      <c r="FL48" s="82">
        <f t="shared" si="65"/>
        <v>0</v>
      </c>
      <c r="FN48" s="82"/>
      <c r="FO48" s="273"/>
      <c r="FP48" s="273"/>
      <c r="FQ48" s="273"/>
      <c r="FR48" s="273"/>
      <c r="FS48">
        <f t="shared" si="66"/>
        <v>0</v>
      </c>
      <c r="FU48" s="82"/>
      <c r="FV48" s="273"/>
      <c r="FW48" s="273"/>
      <c r="FX48" s="273"/>
      <c r="FY48" s="273"/>
      <c r="FZ48">
        <f t="shared" si="67"/>
        <v>0</v>
      </c>
      <c r="GA48" s="273"/>
      <c r="GB48" s="82"/>
      <c r="GC48" s="273"/>
      <c r="GD48" s="273"/>
      <c r="GE48" s="273"/>
      <c r="GF48" s="273"/>
      <c r="GG48">
        <f t="shared" si="68"/>
        <v>0</v>
      </c>
      <c r="GH48" s="273"/>
      <c r="GI48" s="82"/>
      <c r="GJ48" s="273"/>
      <c r="GK48" s="273"/>
      <c r="GL48" s="273"/>
      <c r="GM48" s="273"/>
      <c r="GN48">
        <f t="shared" si="69"/>
        <v>0</v>
      </c>
      <c r="GO48" s="273"/>
      <c r="GP48" s="82"/>
      <c r="GQ48" s="273"/>
      <c r="GR48" s="273"/>
      <c r="GS48" s="273"/>
      <c r="GT48" s="273"/>
      <c r="GU48">
        <f t="shared" si="70"/>
        <v>0</v>
      </c>
      <c r="GV48" s="273"/>
      <c r="GW48" s="82"/>
      <c r="GX48" s="273"/>
      <c r="GY48" s="273"/>
      <c r="GZ48" s="273"/>
      <c r="HA48" s="273"/>
      <c r="HB48">
        <f t="shared" si="71"/>
        <v>0</v>
      </c>
      <c r="HC48" s="273"/>
    </row>
    <row r="49" spans="1:211" ht="12.75" customHeight="1">
      <c r="A49" s="273" t="s">
        <v>501</v>
      </c>
      <c r="B49" s="82"/>
      <c r="C49" s="273"/>
      <c r="D49" s="273"/>
      <c r="E49" s="273"/>
      <c r="F49" s="273"/>
      <c r="G49" s="82">
        <f t="shared" si="42"/>
        <v>0</v>
      </c>
      <c r="H49" s="273"/>
      <c r="I49" s="82"/>
      <c r="J49" s="273"/>
      <c r="K49" s="273"/>
      <c r="L49" s="273"/>
      <c r="M49" s="273"/>
      <c r="N49" s="82">
        <f t="shared" si="43"/>
        <v>0</v>
      </c>
      <c r="O49" s="273"/>
      <c r="P49" s="82"/>
      <c r="Q49" s="273"/>
      <c r="R49" s="273"/>
      <c r="S49" s="273"/>
      <c r="T49" s="273"/>
      <c r="U49" s="82">
        <f t="shared" si="44"/>
        <v>0</v>
      </c>
      <c r="V49" s="273"/>
      <c r="W49" s="82"/>
      <c r="X49" s="273"/>
      <c r="Y49" s="273"/>
      <c r="Z49" s="273"/>
      <c r="AA49" s="273"/>
      <c r="AB49" s="82">
        <f t="shared" si="45"/>
        <v>0</v>
      </c>
      <c r="AD49" s="82"/>
      <c r="AE49" s="273"/>
      <c r="AF49" s="273"/>
      <c r="AG49" s="273"/>
      <c r="AH49" s="273"/>
      <c r="AI49" s="82">
        <f t="shared" si="46"/>
        <v>0</v>
      </c>
      <c r="AK49" s="82"/>
      <c r="AL49" s="273"/>
      <c r="AM49" s="273"/>
      <c r="AN49" s="273"/>
      <c r="AO49" s="273"/>
      <c r="AP49" s="82">
        <f t="shared" si="47"/>
        <v>0</v>
      </c>
      <c r="AR49" s="82"/>
      <c r="AS49" s="273"/>
      <c r="AT49" s="273"/>
      <c r="AU49" s="273"/>
      <c r="AV49" s="273"/>
      <c r="AW49" s="82">
        <f t="shared" si="48"/>
        <v>0</v>
      </c>
      <c r="AY49" s="82"/>
      <c r="AZ49" s="273"/>
      <c r="BA49" s="273"/>
      <c r="BB49" s="273"/>
      <c r="BC49" s="273"/>
      <c r="BD49" s="82">
        <f t="shared" si="49"/>
        <v>0</v>
      </c>
      <c r="BF49" s="82"/>
      <c r="BG49" s="273"/>
      <c r="BH49" s="273"/>
      <c r="BI49" s="273"/>
      <c r="BJ49" s="273"/>
      <c r="BK49" s="82">
        <f t="shared" si="50"/>
        <v>0</v>
      </c>
      <c r="BM49" s="82"/>
      <c r="BN49" s="273"/>
      <c r="BO49" s="273"/>
      <c r="BP49" s="273"/>
      <c r="BQ49" s="273"/>
      <c r="BR49" s="82">
        <f t="shared" si="51"/>
        <v>0</v>
      </c>
      <c r="BT49" s="82"/>
      <c r="BU49" s="273"/>
      <c r="BV49" s="273"/>
      <c r="BW49" s="273"/>
      <c r="BX49" s="273"/>
      <c r="BY49" s="82">
        <f t="shared" si="52"/>
        <v>0</v>
      </c>
      <c r="CA49" s="82"/>
      <c r="CB49" s="273"/>
      <c r="CC49" s="273"/>
      <c r="CD49" s="273"/>
      <c r="CE49" s="273"/>
      <c r="CF49" s="82">
        <f t="shared" si="53"/>
        <v>0</v>
      </c>
      <c r="CH49" s="82"/>
      <c r="CI49" s="273"/>
      <c r="CJ49" s="273"/>
      <c r="CK49" s="273"/>
      <c r="CL49" s="273"/>
      <c r="CM49" s="82">
        <f t="shared" si="54"/>
        <v>0</v>
      </c>
      <c r="CO49" s="82"/>
      <c r="CP49" s="273"/>
      <c r="CQ49" s="273"/>
      <c r="CR49" s="273"/>
      <c r="CS49" s="273"/>
      <c r="CT49" s="82">
        <f t="shared" si="55"/>
        <v>0</v>
      </c>
      <c r="CV49" s="82"/>
      <c r="CW49" s="273"/>
      <c r="CX49" s="273"/>
      <c r="CY49" s="273"/>
      <c r="CZ49" s="273"/>
      <c r="DA49" s="82">
        <f t="shared" si="56"/>
        <v>0</v>
      </c>
      <c r="DC49" s="82"/>
      <c r="DD49" s="273"/>
      <c r="DE49" s="273"/>
      <c r="DF49" s="273"/>
      <c r="DG49" s="273"/>
      <c r="DH49" s="82">
        <f t="shared" si="57"/>
        <v>0</v>
      </c>
      <c r="DJ49" s="82"/>
      <c r="DK49" s="273"/>
      <c r="DL49" s="273"/>
      <c r="DM49" s="273"/>
      <c r="DN49" s="273"/>
      <c r="DO49" s="82">
        <f t="shared" si="58"/>
        <v>0</v>
      </c>
      <c r="DQ49" s="82"/>
      <c r="DR49" s="273"/>
      <c r="DS49" s="273"/>
      <c r="DT49" s="273"/>
      <c r="DU49" s="273"/>
      <c r="DV49" s="82">
        <f t="shared" si="59"/>
        <v>0</v>
      </c>
      <c r="DX49" s="82"/>
      <c r="DY49" s="273"/>
      <c r="DZ49" s="273"/>
      <c r="EA49" s="273"/>
      <c r="EB49" s="273"/>
      <c r="EC49" s="82">
        <f t="shared" si="60"/>
        <v>0</v>
      </c>
      <c r="EE49" s="82"/>
      <c r="EF49" s="273"/>
      <c r="EG49" s="273"/>
      <c r="EH49" s="273"/>
      <c r="EI49" s="273"/>
      <c r="EJ49" s="82">
        <f t="shared" si="61"/>
        <v>0</v>
      </c>
      <c r="EL49" s="82"/>
      <c r="EM49" s="273"/>
      <c r="EN49" s="273"/>
      <c r="EO49" s="273"/>
      <c r="EP49" s="273"/>
      <c r="EQ49" s="82">
        <f t="shared" si="62"/>
        <v>0</v>
      </c>
      <c r="ES49" s="82"/>
      <c r="ET49" s="273"/>
      <c r="EU49" s="273"/>
      <c r="EV49" s="273"/>
      <c r="EW49" s="273"/>
      <c r="EX49" s="82">
        <f t="shared" si="63"/>
        <v>0</v>
      </c>
      <c r="EZ49" s="82">
        <v>39940.559999999998</v>
      </c>
      <c r="FA49" s="273"/>
      <c r="FB49" s="273"/>
      <c r="FC49" s="273"/>
      <c r="FD49" s="273"/>
      <c r="FE49" s="82">
        <f t="shared" si="64"/>
        <v>39940.559999999998</v>
      </c>
      <c r="FG49" s="82">
        <v>39940.559999999998</v>
      </c>
      <c r="FH49" s="273"/>
      <c r="FI49" s="273"/>
      <c r="FJ49" s="273"/>
      <c r="FK49" s="273"/>
      <c r="FL49" s="82">
        <f t="shared" si="65"/>
        <v>39940.559999999998</v>
      </c>
      <c r="FN49" s="82">
        <v>39940.559999999998</v>
      </c>
      <c r="FO49" s="273"/>
      <c r="FP49" s="273"/>
      <c r="FQ49" s="273"/>
      <c r="FR49" s="273"/>
      <c r="FS49">
        <f t="shared" si="66"/>
        <v>39940.559999999998</v>
      </c>
      <c r="FU49" s="82"/>
      <c r="FV49" s="273"/>
      <c r="FW49" s="273"/>
      <c r="FX49" s="273"/>
      <c r="FY49" s="273"/>
      <c r="FZ49">
        <f t="shared" si="67"/>
        <v>0</v>
      </c>
      <c r="GA49" s="273"/>
      <c r="GB49" s="82"/>
      <c r="GC49" s="273"/>
      <c r="GD49" s="273"/>
      <c r="GE49" s="273"/>
      <c r="GF49" s="273"/>
      <c r="GG49">
        <f t="shared" si="68"/>
        <v>0</v>
      </c>
      <c r="GH49" s="273"/>
      <c r="GI49" s="82"/>
      <c r="GJ49" s="273"/>
      <c r="GK49" s="273"/>
      <c r="GL49" s="273"/>
      <c r="GM49" s="273"/>
      <c r="GN49">
        <f t="shared" si="69"/>
        <v>0</v>
      </c>
      <c r="GO49" s="273"/>
      <c r="GP49" s="82"/>
      <c r="GQ49" s="273"/>
      <c r="GR49" s="273"/>
      <c r="GS49" s="273"/>
      <c r="GT49" s="273"/>
      <c r="GU49">
        <f t="shared" si="70"/>
        <v>0</v>
      </c>
      <c r="GV49" s="273"/>
      <c r="GW49" s="82"/>
      <c r="GX49" s="273"/>
      <c r="GY49" s="273"/>
      <c r="GZ49" s="273"/>
      <c r="HA49" s="273"/>
      <c r="HB49">
        <f t="shared" si="71"/>
        <v>0</v>
      </c>
      <c r="HC49" s="273"/>
    </row>
    <row r="50" spans="1:211" ht="12.75" customHeight="1">
      <c r="A50" t="s">
        <v>513</v>
      </c>
      <c r="B50" s="82"/>
      <c r="G50" s="82">
        <f t="shared" si="42"/>
        <v>0</v>
      </c>
      <c r="I50" s="82"/>
      <c r="N50" s="82">
        <f t="shared" si="43"/>
        <v>0</v>
      </c>
      <c r="P50" s="82"/>
      <c r="U50" s="82">
        <f t="shared" si="44"/>
        <v>0</v>
      </c>
      <c r="W50" s="82"/>
      <c r="AB50" s="82">
        <f t="shared" si="45"/>
        <v>0</v>
      </c>
      <c r="AD50" s="82"/>
      <c r="AI50" s="82">
        <f t="shared" si="46"/>
        <v>0</v>
      </c>
      <c r="AK50" s="82"/>
      <c r="AP50" s="82">
        <f t="shared" si="47"/>
        <v>0</v>
      </c>
      <c r="AR50" s="82"/>
      <c r="AW50" s="82">
        <f t="shared" si="48"/>
        <v>0</v>
      </c>
      <c r="AY50" s="82"/>
      <c r="BD50" s="82">
        <f t="shared" si="49"/>
        <v>0</v>
      </c>
      <c r="BF50" s="82"/>
      <c r="BK50" s="82">
        <f t="shared" si="50"/>
        <v>0</v>
      </c>
      <c r="BM50" s="82"/>
      <c r="BR50" s="82">
        <f t="shared" si="51"/>
        <v>0</v>
      </c>
      <c r="BT50" s="82"/>
      <c r="BY50" s="82">
        <f t="shared" si="52"/>
        <v>0</v>
      </c>
      <c r="CA50" s="82"/>
      <c r="CF50" s="82">
        <f t="shared" si="53"/>
        <v>0</v>
      </c>
      <c r="CH50" s="82"/>
      <c r="CM50" s="82">
        <f t="shared" si="54"/>
        <v>0</v>
      </c>
      <c r="CO50" s="82"/>
      <c r="CT50" s="82">
        <f t="shared" si="55"/>
        <v>0</v>
      </c>
      <c r="CV50" s="82"/>
      <c r="DA50" s="82">
        <f t="shared" si="56"/>
        <v>0</v>
      </c>
      <c r="DC50" s="82"/>
      <c r="DH50" s="82">
        <f t="shared" si="57"/>
        <v>0</v>
      </c>
      <c r="DJ50" s="82"/>
      <c r="DO50" s="82">
        <f t="shared" si="58"/>
        <v>0</v>
      </c>
      <c r="DQ50" s="82"/>
      <c r="DV50" s="82">
        <f t="shared" si="59"/>
        <v>0</v>
      </c>
      <c r="DX50" s="82"/>
      <c r="EC50" s="82">
        <f t="shared" si="60"/>
        <v>0</v>
      </c>
      <c r="EE50" s="82"/>
      <c r="EJ50" s="82">
        <f t="shared" si="61"/>
        <v>0</v>
      </c>
      <c r="EL50" s="82"/>
      <c r="EQ50" s="82">
        <f t="shared" si="62"/>
        <v>0</v>
      </c>
      <c r="ES50" s="82"/>
      <c r="EX50" s="82">
        <f t="shared" si="63"/>
        <v>0</v>
      </c>
      <c r="EZ50" s="82">
        <v>0</v>
      </c>
      <c r="FE50" s="82">
        <f t="shared" si="64"/>
        <v>0</v>
      </c>
      <c r="FG50" s="82">
        <v>0</v>
      </c>
      <c r="FL50" s="82">
        <f t="shared" si="65"/>
        <v>0</v>
      </c>
      <c r="FN50" s="82">
        <v>0</v>
      </c>
      <c r="FS50">
        <f t="shared" si="66"/>
        <v>0</v>
      </c>
      <c r="FU50" s="82">
        <v>0</v>
      </c>
      <c r="FZ50">
        <f t="shared" si="67"/>
        <v>0</v>
      </c>
      <c r="GB50" s="82">
        <v>0</v>
      </c>
      <c r="GG50">
        <f t="shared" si="68"/>
        <v>0</v>
      </c>
      <c r="GI50" s="82">
        <v>0</v>
      </c>
      <c r="GN50">
        <f t="shared" si="69"/>
        <v>0</v>
      </c>
      <c r="GP50" s="82">
        <v>0</v>
      </c>
      <c r="GU50">
        <f t="shared" si="70"/>
        <v>0</v>
      </c>
      <c r="GW50" s="82">
        <v>0</v>
      </c>
      <c r="HB50">
        <f t="shared" si="71"/>
        <v>0</v>
      </c>
    </row>
    <row r="51" spans="1:211" ht="12.75" customHeight="1">
      <c r="A51" t="s">
        <v>647</v>
      </c>
      <c r="B51" s="82">
        <v>0</v>
      </c>
      <c r="C51" s="53">
        <v>0</v>
      </c>
      <c r="G51" s="82">
        <f t="shared" si="42"/>
        <v>0</v>
      </c>
      <c r="I51" s="82">
        <v>0</v>
      </c>
      <c r="J51" s="53">
        <v>0</v>
      </c>
      <c r="N51" s="82">
        <f t="shared" si="43"/>
        <v>0</v>
      </c>
      <c r="P51" s="82">
        <v>0</v>
      </c>
      <c r="Q51" s="53">
        <v>0</v>
      </c>
      <c r="U51" s="82">
        <f t="shared" si="44"/>
        <v>0</v>
      </c>
      <c r="W51" s="82">
        <v>0</v>
      </c>
      <c r="X51" s="53">
        <v>0</v>
      </c>
      <c r="AB51" s="82">
        <f t="shared" si="45"/>
        <v>0</v>
      </c>
      <c r="AD51" s="82">
        <v>0</v>
      </c>
      <c r="AE51" s="53">
        <v>0</v>
      </c>
      <c r="AI51" s="82">
        <f t="shared" si="46"/>
        <v>0</v>
      </c>
      <c r="AK51" s="82">
        <v>0</v>
      </c>
      <c r="AL51" s="53">
        <v>0</v>
      </c>
      <c r="AP51" s="82">
        <f t="shared" si="47"/>
        <v>0</v>
      </c>
      <c r="AR51" s="82">
        <v>0</v>
      </c>
      <c r="AS51" s="53">
        <v>0</v>
      </c>
      <c r="AW51" s="82">
        <f t="shared" si="48"/>
        <v>0</v>
      </c>
      <c r="AY51" s="82">
        <v>0</v>
      </c>
      <c r="AZ51" s="53">
        <v>0</v>
      </c>
      <c r="BD51" s="82">
        <f t="shared" si="49"/>
        <v>0</v>
      </c>
      <c r="BF51" s="82">
        <v>0</v>
      </c>
      <c r="BG51" s="53">
        <v>0</v>
      </c>
      <c r="BK51" s="82">
        <f t="shared" si="50"/>
        <v>0</v>
      </c>
      <c r="BM51" s="82">
        <v>0</v>
      </c>
      <c r="BN51" s="53">
        <v>0</v>
      </c>
      <c r="BR51" s="82">
        <f t="shared" si="51"/>
        <v>0</v>
      </c>
      <c r="BT51" s="82">
        <v>0</v>
      </c>
      <c r="BU51" s="53">
        <v>0</v>
      </c>
      <c r="BY51" s="82">
        <f t="shared" si="52"/>
        <v>0</v>
      </c>
      <c r="CA51" s="82">
        <v>0</v>
      </c>
      <c r="CB51" s="53">
        <v>0</v>
      </c>
      <c r="CF51" s="82">
        <f t="shared" si="53"/>
        <v>0</v>
      </c>
      <c r="CH51" s="82">
        <v>0</v>
      </c>
      <c r="CI51" s="53">
        <v>0</v>
      </c>
      <c r="CM51" s="82">
        <f t="shared" si="54"/>
        <v>0</v>
      </c>
      <c r="CO51" s="82">
        <v>0</v>
      </c>
      <c r="CP51" s="53">
        <v>0</v>
      </c>
      <c r="CT51" s="82">
        <f t="shared" si="55"/>
        <v>0</v>
      </c>
      <c r="CV51" s="82">
        <v>-68000</v>
      </c>
      <c r="CW51" s="53">
        <v>0</v>
      </c>
      <c r="DA51" s="82">
        <f t="shared" si="56"/>
        <v>-68000</v>
      </c>
      <c r="DC51" s="82">
        <v>-68000</v>
      </c>
      <c r="DD51" s="53">
        <v>0</v>
      </c>
      <c r="DH51" s="82">
        <f t="shared" si="57"/>
        <v>-68000</v>
      </c>
      <c r="DJ51" s="82">
        <v>-68000</v>
      </c>
      <c r="DK51" s="53">
        <v>0</v>
      </c>
      <c r="DO51" s="82">
        <f t="shared" si="58"/>
        <v>-68000</v>
      </c>
      <c r="DQ51" s="82">
        <v>-68000</v>
      </c>
      <c r="DR51" s="53">
        <v>0</v>
      </c>
      <c r="DV51" s="82">
        <f t="shared" si="59"/>
        <v>-68000</v>
      </c>
      <c r="DX51" s="82">
        <f>-226000-256000</f>
        <v>-482000</v>
      </c>
      <c r="DY51" s="53">
        <v>-48000</v>
      </c>
      <c r="EC51" s="82">
        <f t="shared" si="60"/>
        <v>-530000</v>
      </c>
      <c r="EE51" s="82">
        <f>-226000-256000</f>
        <v>-482000</v>
      </c>
      <c r="EF51" s="53">
        <v>-48000</v>
      </c>
      <c r="EJ51" s="82">
        <f t="shared" si="61"/>
        <v>-530000</v>
      </c>
      <c r="EL51" s="82">
        <v>-226000</v>
      </c>
      <c r="EM51" s="53">
        <v>-48000</v>
      </c>
      <c r="EQ51" s="82">
        <f t="shared" si="62"/>
        <v>-274000</v>
      </c>
      <c r="ES51" s="82">
        <v>-208000</v>
      </c>
      <c r="ET51" s="53">
        <v>-48000</v>
      </c>
      <c r="EX51" s="82">
        <f t="shared" si="63"/>
        <v>-256000</v>
      </c>
      <c r="EZ51" s="82">
        <v>243996.14</v>
      </c>
      <c r="FA51" s="82">
        <v>3000</v>
      </c>
      <c r="FE51" s="82">
        <f t="shared" si="64"/>
        <v>246996.14</v>
      </c>
      <c r="FG51" s="82">
        <v>50000</v>
      </c>
      <c r="FL51" s="82">
        <f t="shared" si="65"/>
        <v>50000</v>
      </c>
      <c r="FN51" s="82">
        <v>50000</v>
      </c>
      <c r="FS51">
        <f t="shared" si="66"/>
        <v>50000</v>
      </c>
      <c r="FU51" s="82">
        <v>150000</v>
      </c>
      <c r="FZ51">
        <f t="shared" si="67"/>
        <v>150000</v>
      </c>
      <c r="GB51" s="82">
        <f>200000-110000-300000-400000-100000</f>
        <v>-710000</v>
      </c>
      <c r="GG51">
        <f t="shared" si="68"/>
        <v>-710000</v>
      </c>
      <c r="GI51" s="82">
        <f>200000-110000-300000-400000</f>
        <v>-610000</v>
      </c>
      <c r="GN51">
        <f t="shared" si="69"/>
        <v>-610000</v>
      </c>
      <c r="GP51" s="82">
        <f>200000+2006.86-110000</f>
        <v>92006.859999999986</v>
      </c>
      <c r="GU51">
        <f t="shared" si="70"/>
        <v>92006.859999999986</v>
      </c>
      <c r="GW51" s="82">
        <f>200000+2006.86</f>
        <v>202006.86</v>
      </c>
      <c r="HB51">
        <f t="shared" si="71"/>
        <v>202006.86</v>
      </c>
    </row>
    <row r="52" spans="1:211" ht="12.75" customHeight="1">
      <c r="A52" t="s">
        <v>473</v>
      </c>
      <c r="B52" s="82"/>
      <c r="C52" s="272"/>
      <c r="G52" s="82">
        <f t="shared" si="42"/>
        <v>0</v>
      </c>
      <c r="I52" s="82"/>
      <c r="J52" s="272"/>
      <c r="N52" s="82">
        <f t="shared" si="43"/>
        <v>0</v>
      </c>
      <c r="P52" s="82"/>
      <c r="Q52" s="272"/>
      <c r="U52" s="82">
        <f t="shared" si="44"/>
        <v>0</v>
      </c>
      <c r="W52" s="82"/>
      <c r="X52" s="272"/>
      <c r="AB52" s="82">
        <f t="shared" si="45"/>
        <v>0</v>
      </c>
      <c r="AD52" s="82"/>
      <c r="AE52" s="272"/>
      <c r="AI52" s="82">
        <f t="shared" si="46"/>
        <v>0</v>
      </c>
      <c r="AK52" s="82"/>
      <c r="AL52" s="272"/>
      <c r="AP52" s="82">
        <f t="shared" si="47"/>
        <v>0</v>
      </c>
      <c r="AR52" s="82"/>
      <c r="AS52" s="272"/>
      <c r="AW52" s="82">
        <f t="shared" si="48"/>
        <v>0</v>
      </c>
      <c r="AY52" s="82"/>
      <c r="AZ52" s="272"/>
      <c r="BD52" s="82">
        <f t="shared" si="49"/>
        <v>0</v>
      </c>
      <c r="BF52" s="82"/>
      <c r="BG52" s="272"/>
      <c r="BK52" s="82">
        <f t="shared" si="50"/>
        <v>0</v>
      </c>
      <c r="BM52" s="82"/>
      <c r="BN52" s="272"/>
      <c r="BR52" s="82">
        <f t="shared" si="51"/>
        <v>0</v>
      </c>
      <c r="BT52" s="82"/>
      <c r="BU52" s="272"/>
      <c r="BY52" s="82">
        <f t="shared" si="52"/>
        <v>0</v>
      </c>
      <c r="CA52" s="82"/>
      <c r="CB52" s="272"/>
      <c r="CF52" s="82">
        <f t="shared" si="53"/>
        <v>0</v>
      </c>
      <c r="CH52" s="82"/>
      <c r="CI52" s="272"/>
      <c r="CM52" s="82">
        <f t="shared" si="54"/>
        <v>0</v>
      </c>
      <c r="CO52" s="82"/>
      <c r="CP52" s="272"/>
      <c r="CT52" s="82">
        <f t="shared" si="55"/>
        <v>0</v>
      </c>
      <c r="CV52" s="82"/>
      <c r="CW52" s="272"/>
      <c r="DA52" s="82">
        <f t="shared" si="56"/>
        <v>0</v>
      </c>
      <c r="DC52" s="82"/>
      <c r="DH52" s="82">
        <f t="shared" si="57"/>
        <v>0</v>
      </c>
      <c r="DJ52" s="82"/>
      <c r="DO52" s="82">
        <f t="shared" si="58"/>
        <v>0</v>
      </c>
      <c r="DQ52" s="82"/>
      <c r="DV52" s="82">
        <f t="shared" si="59"/>
        <v>0</v>
      </c>
      <c r="DX52" s="82"/>
      <c r="EC52" s="82">
        <f t="shared" si="60"/>
        <v>0</v>
      </c>
      <c r="EE52" s="82"/>
      <c r="EJ52" s="82">
        <f t="shared" si="61"/>
        <v>0</v>
      </c>
      <c r="EL52" s="82"/>
      <c r="EQ52" s="82">
        <f t="shared" si="62"/>
        <v>0</v>
      </c>
      <c r="ES52" s="82"/>
      <c r="EX52" s="82">
        <f t="shared" si="63"/>
        <v>0</v>
      </c>
      <c r="EZ52" s="82">
        <v>0</v>
      </c>
      <c r="FE52" s="82">
        <f t="shared" si="64"/>
        <v>0</v>
      </c>
      <c r="FG52" s="82">
        <v>0</v>
      </c>
      <c r="FL52" s="82">
        <f t="shared" si="65"/>
        <v>0</v>
      </c>
      <c r="FN52" s="82">
        <v>0</v>
      </c>
      <c r="FS52">
        <f t="shared" si="66"/>
        <v>0</v>
      </c>
      <c r="FU52" s="82">
        <v>0</v>
      </c>
      <c r="FZ52">
        <f t="shared" si="67"/>
        <v>0</v>
      </c>
      <c r="GB52" s="82">
        <v>0</v>
      </c>
      <c r="GG52">
        <f t="shared" si="68"/>
        <v>0</v>
      </c>
      <c r="GI52" s="82">
        <v>0</v>
      </c>
      <c r="GN52">
        <f t="shared" si="69"/>
        <v>0</v>
      </c>
      <c r="GP52" s="82">
        <v>0</v>
      </c>
      <c r="GU52">
        <f t="shared" si="70"/>
        <v>0</v>
      </c>
      <c r="GW52" s="82">
        <v>0</v>
      </c>
      <c r="HB52">
        <f t="shared" si="71"/>
        <v>0</v>
      </c>
    </row>
    <row r="53" spans="1:211" ht="12.75" customHeight="1">
      <c r="A53" t="s">
        <v>515</v>
      </c>
      <c r="B53" s="82"/>
      <c r="G53" s="82">
        <f t="shared" si="42"/>
        <v>0</v>
      </c>
      <c r="I53" s="82"/>
      <c r="N53" s="82">
        <f t="shared" si="43"/>
        <v>0</v>
      </c>
      <c r="P53" s="82"/>
      <c r="U53" s="82">
        <f t="shared" si="44"/>
        <v>0</v>
      </c>
      <c r="W53" s="82"/>
      <c r="AB53" s="82">
        <f t="shared" si="45"/>
        <v>0</v>
      </c>
      <c r="AD53" s="82"/>
      <c r="AI53" s="82">
        <f t="shared" si="46"/>
        <v>0</v>
      </c>
      <c r="AK53" s="82"/>
      <c r="AP53" s="82">
        <f t="shared" si="47"/>
        <v>0</v>
      </c>
      <c r="AR53" s="82"/>
      <c r="AW53" s="82">
        <f t="shared" si="48"/>
        <v>0</v>
      </c>
      <c r="AY53" s="82"/>
      <c r="BD53" s="82">
        <f t="shared" si="49"/>
        <v>0</v>
      </c>
      <c r="BF53" s="82"/>
      <c r="BK53" s="82">
        <f t="shared" si="50"/>
        <v>0</v>
      </c>
      <c r="BM53" s="82"/>
      <c r="BR53" s="82">
        <f t="shared" si="51"/>
        <v>0</v>
      </c>
      <c r="BT53" s="82"/>
      <c r="BY53" s="82">
        <f t="shared" si="52"/>
        <v>0</v>
      </c>
      <c r="CA53" s="82"/>
      <c r="CF53" s="82">
        <f t="shared" si="53"/>
        <v>0</v>
      </c>
      <c r="CH53" s="82"/>
      <c r="CM53" s="82">
        <f t="shared" si="54"/>
        <v>0</v>
      </c>
      <c r="CO53" s="82"/>
      <c r="CT53" s="82">
        <f t="shared" si="55"/>
        <v>0</v>
      </c>
      <c r="CV53" s="82"/>
      <c r="DA53" s="82">
        <f t="shared" si="56"/>
        <v>0</v>
      </c>
      <c r="DC53" s="82"/>
      <c r="DH53" s="82">
        <f t="shared" si="57"/>
        <v>0</v>
      </c>
      <c r="DJ53" s="82"/>
      <c r="DO53" s="82">
        <f t="shared" si="58"/>
        <v>0</v>
      </c>
      <c r="DQ53" s="82"/>
      <c r="DV53" s="82">
        <f t="shared" si="59"/>
        <v>0</v>
      </c>
      <c r="DX53" s="82"/>
      <c r="EC53" s="82">
        <f t="shared" si="60"/>
        <v>0</v>
      </c>
      <c r="EE53" s="82"/>
      <c r="EJ53" s="82">
        <f t="shared" si="61"/>
        <v>0</v>
      </c>
      <c r="EL53" s="82"/>
      <c r="EQ53" s="82">
        <f t="shared" si="62"/>
        <v>0</v>
      </c>
      <c r="ES53" s="82"/>
      <c r="EX53" s="82">
        <f t="shared" si="63"/>
        <v>0</v>
      </c>
      <c r="EZ53" s="82">
        <v>0</v>
      </c>
      <c r="FE53" s="82">
        <f t="shared" si="64"/>
        <v>0</v>
      </c>
      <c r="FG53" s="82">
        <v>0</v>
      </c>
      <c r="FL53" s="82">
        <f t="shared" si="65"/>
        <v>0</v>
      </c>
      <c r="FN53" s="82">
        <v>0</v>
      </c>
      <c r="FS53">
        <f t="shared" si="66"/>
        <v>0</v>
      </c>
      <c r="FU53" s="82">
        <v>0</v>
      </c>
      <c r="FZ53">
        <f t="shared" si="67"/>
        <v>0</v>
      </c>
      <c r="GB53" s="82">
        <f>14015*11+14014</f>
        <v>168179</v>
      </c>
      <c r="GG53">
        <f t="shared" si="68"/>
        <v>168179</v>
      </c>
      <c r="GI53" s="82">
        <f>14015*9</f>
        <v>126135</v>
      </c>
      <c r="GN53">
        <f t="shared" si="69"/>
        <v>126135</v>
      </c>
      <c r="GP53" s="82">
        <f>14015*6</f>
        <v>84090</v>
      </c>
      <c r="GU53">
        <f t="shared" si="70"/>
        <v>84090</v>
      </c>
      <c r="GW53" s="82">
        <f>14015*3</f>
        <v>42045</v>
      </c>
      <c r="HB53">
        <f t="shared" si="71"/>
        <v>42045</v>
      </c>
    </row>
    <row r="54" spans="1:211" ht="12.75" customHeight="1">
      <c r="B54" s="242">
        <f>SUM(B45:B53)</f>
        <v>30889.86</v>
      </c>
      <c r="C54" s="242">
        <f>SUM(C45:C53)</f>
        <v>0</v>
      </c>
      <c r="D54" s="242">
        <f>SUM(D45:D53)</f>
        <v>0</v>
      </c>
      <c r="E54" s="242">
        <f>SUM(E45:E53)</f>
        <v>0</v>
      </c>
      <c r="F54" s="242"/>
      <c r="G54" s="242">
        <f>SUM(G45:G53)</f>
        <v>30889.86</v>
      </c>
      <c r="I54" s="242">
        <v>8403</v>
      </c>
      <c r="J54" s="242">
        <v>0</v>
      </c>
      <c r="K54" s="242">
        <v>0</v>
      </c>
      <c r="L54" s="242">
        <v>0</v>
      </c>
      <c r="M54" s="242"/>
      <c r="N54" s="242">
        <f>SUM(N45:N53)</f>
        <v>8403</v>
      </c>
      <c r="P54" s="242">
        <v>8403</v>
      </c>
      <c r="Q54" s="242">
        <v>0</v>
      </c>
      <c r="R54" s="242">
        <v>0</v>
      </c>
      <c r="S54" s="242">
        <v>0</v>
      </c>
      <c r="T54" s="242"/>
      <c r="U54" s="242">
        <f>SUM(U45:U53)</f>
        <v>8403</v>
      </c>
      <c r="W54" s="242">
        <f>SUM(W45:W53)</f>
        <v>-8403</v>
      </c>
      <c r="X54" s="242">
        <f>SUM(X45:X53)</f>
        <v>0</v>
      </c>
      <c r="Y54" s="242">
        <f>SUM(Y45:Y53)</f>
        <v>0</v>
      </c>
      <c r="Z54" s="242">
        <f>SUM(Z45:Z53)</f>
        <v>0</v>
      </c>
      <c r="AA54" s="242"/>
      <c r="AB54" s="242">
        <f>SUM(AB45:AB53)</f>
        <v>-8403</v>
      </c>
      <c r="AC54" s="241"/>
      <c r="AD54" s="242">
        <f>SUM(AD45:AD53)</f>
        <v>0</v>
      </c>
      <c r="AE54" s="242">
        <f>SUM(AE45:AE53)</f>
        <v>0</v>
      </c>
      <c r="AF54" s="242">
        <f>SUM(AF45:AF53)</f>
        <v>0</v>
      </c>
      <c r="AG54" s="242">
        <f>SUM(AG45:AG53)</f>
        <v>0</v>
      </c>
      <c r="AH54" s="242"/>
      <c r="AI54" s="242">
        <f>SUM(AI45:AI53)</f>
        <v>0</v>
      </c>
      <c r="AJ54" s="241"/>
      <c r="AK54" s="242">
        <f>SUM(AK45:AK53)</f>
        <v>7288.27</v>
      </c>
      <c r="AL54" s="242">
        <f>SUM(AL45:AL53)</f>
        <v>0</v>
      </c>
      <c r="AM54" s="242">
        <f>SUM(AM45:AM53)</f>
        <v>0</v>
      </c>
      <c r="AN54" s="242">
        <f>SUM(AN45:AN53)</f>
        <v>0</v>
      </c>
      <c r="AO54" s="242"/>
      <c r="AP54" s="242">
        <f>SUM(AP45:AP53)</f>
        <v>7288.27</v>
      </c>
      <c r="AQ54" s="241"/>
      <c r="AR54" s="242">
        <f>SUM(AR45:AR53)</f>
        <v>7288.27</v>
      </c>
      <c r="AS54" s="242">
        <f>SUM(AS45:AS53)</f>
        <v>0</v>
      </c>
      <c r="AT54" s="242">
        <f>SUM(AT45:AT53)</f>
        <v>0</v>
      </c>
      <c r="AU54" s="242">
        <f>SUM(AU45:AU53)</f>
        <v>0</v>
      </c>
      <c r="AV54" s="242"/>
      <c r="AW54" s="242">
        <f>SUM(AW45:AW53)</f>
        <v>7288.27</v>
      </c>
      <c r="AX54" s="241"/>
      <c r="AY54" s="242">
        <f>SUM(AY45:AY53)</f>
        <v>7288.27</v>
      </c>
      <c r="AZ54" s="242">
        <f>SUM(AZ45:AZ53)</f>
        <v>0</v>
      </c>
      <c r="BA54" s="242">
        <f>SUM(BA45:BA53)</f>
        <v>0</v>
      </c>
      <c r="BB54" s="242">
        <f>SUM(BB45:BB53)</f>
        <v>0</v>
      </c>
      <c r="BC54" s="242"/>
      <c r="BD54" s="242">
        <f>SUM(BD45:BD53)</f>
        <v>7288.27</v>
      </c>
      <c r="BE54" s="241"/>
      <c r="BF54" s="242">
        <f>SUM(BF45:BF53)</f>
        <v>0</v>
      </c>
      <c r="BG54" s="242">
        <f>SUM(BG45:BG53)</f>
        <v>0</v>
      </c>
      <c r="BH54" s="242">
        <f>SUM(BH45:BH53)</f>
        <v>0</v>
      </c>
      <c r="BI54" s="242">
        <f>SUM(BI45:BI53)</f>
        <v>0</v>
      </c>
      <c r="BJ54" s="242"/>
      <c r="BK54" s="242">
        <f>SUM(BK45:BK53)</f>
        <v>0</v>
      </c>
      <c r="BL54" s="241"/>
      <c r="BM54" s="242">
        <f>SUM(BM45:BM53)</f>
        <v>38658.400000000001</v>
      </c>
      <c r="BN54" s="242">
        <f>SUM(BN45:BN53)</f>
        <v>0</v>
      </c>
      <c r="BO54" s="242">
        <f>SUM(BO45:BO53)</f>
        <v>0</v>
      </c>
      <c r="BP54" s="242">
        <f>SUM(BP45:BP53)</f>
        <v>0</v>
      </c>
      <c r="BQ54" s="242"/>
      <c r="BR54" s="242">
        <f>SUM(BR45:BR53)</f>
        <v>38658.400000000001</v>
      </c>
      <c r="BS54" s="241"/>
      <c r="BT54" s="242">
        <f>SUM(BT45:BT53)</f>
        <v>38658.400000000001</v>
      </c>
      <c r="BU54" s="242">
        <f>SUM(BU45:BU53)</f>
        <v>0</v>
      </c>
      <c r="BV54" s="242">
        <f>SUM(BV45:BV53)</f>
        <v>0</v>
      </c>
      <c r="BW54" s="242">
        <f>SUM(BW45:BW53)</f>
        <v>0</v>
      </c>
      <c r="BX54" s="242"/>
      <c r="BY54" s="242">
        <f>SUM(BY45:BY53)</f>
        <v>38658.400000000001</v>
      </c>
      <c r="BZ54" s="241"/>
      <c r="CA54" s="242">
        <f>SUM(CA45:CA53)</f>
        <v>38658.400000000001</v>
      </c>
      <c r="CB54" s="242">
        <f>SUM(CB45:CB53)</f>
        <v>0</v>
      </c>
      <c r="CC54" s="242">
        <f>SUM(CC45:CC53)</f>
        <v>0</v>
      </c>
      <c r="CD54" s="242">
        <f>SUM(CD45:CD53)</f>
        <v>0</v>
      </c>
      <c r="CE54" s="242"/>
      <c r="CF54" s="242">
        <f>SUM(CF45:CF53)</f>
        <v>38658.400000000001</v>
      </c>
      <c r="CG54" s="241"/>
      <c r="CH54" s="242">
        <f>SUM(CH45:CH53)</f>
        <v>29782.400000000001</v>
      </c>
      <c r="CI54" s="242">
        <f>SUM(CI45:CI53)</f>
        <v>0</v>
      </c>
      <c r="CJ54" s="242">
        <f>SUM(CJ45:CJ53)</f>
        <v>0</v>
      </c>
      <c r="CK54" s="242">
        <f>SUM(CK45:CK53)</f>
        <v>0</v>
      </c>
      <c r="CL54" s="242"/>
      <c r="CM54" s="242">
        <f>SUM(CM45:CM53)</f>
        <v>29782.400000000001</v>
      </c>
      <c r="CN54" s="241"/>
      <c r="CO54" s="242">
        <f>SUM(CO45:CO53)</f>
        <v>0</v>
      </c>
      <c r="CP54" s="242">
        <f>SUM(CP45:CP53)</f>
        <v>0</v>
      </c>
      <c r="CQ54" s="242">
        <f>SUM(CQ45:CQ53)</f>
        <v>0</v>
      </c>
      <c r="CR54" s="242">
        <f>SUM(CR45:CR53)</f>
        <v>0</v>
      </c>
      <c r="CS54" s="242"/>
      <c r="CT54" s="242">
        <f>SUM(CT45:CT53)</f>
        <v>0</v>
      </c>
      <c r="CU54" s="241"/>
      <c r="CV54" s="242">
        <f>SUM(CV45:CV53)</f>
        <v>222864.90000000002</v>
      </c>
      <c r="CW54" s="242">
        <f>SUM(CW45:CW53)</f>
        <v>4075200</v>
      </c>
      <c r="CX54" s="242">
        <f>SUM(CX45:CX53)</f>
        <v>0</v>
      </c>
      <c r="CY54" s="242">
        <f>SUM(CY45:CY53)</f>
        <v>0</v>
      </c>
      <c r="CZ54" s="242"/>
      <c r="DA54" s="242">
        <f>SUM(DA45:DA53)</f>
        <v>4298064.9000000004</v>
      </c>
      <c r="DB54" s="241"/>
      <c r="DC54" s="242">
        <f>SUM(DC45:DC53)</f>
        <v>222864.90000000002</v>
      </c>
      <c r="DD54" s="242">
        <f>SUM(DD45:DD53)</f>
        <v>4075200</v>
      </c>
      <c r="DE54" s="242">
        <f>SUM(DE45:DE53)</f>
        <v>0</v>
      </c>
      <c r="DF54" s="242">
        <f>SUM(DF45:DF53)</f>
        <v>0</v>
      </c>
      <c r="DG54" s="242"/>
      <c r="DH54" s="242">
        <f>SUM(DH45:DH53)</f>
        <v>4298064.9000000004</v>
      </c>
      <c r="DI54" s="241"/>
      <c r="DJ54" s="242">
        <f>SUM(DJ45:DJ53)</f>
        <v>101059.20000000001</v>
      </c>
      <c r="DK54" s="242">
        <f>SUM(DK45:DK53)</f>
        <v>2887920</v>
      </c>
      <c r="DL54" s="242">
        <f>SUM(DL45:DL53)</f>
        <v>0</v>
      </c>
      <c r="DM54" s="242">
        <f>SUM(DM45:DM53)</f>
        <v>0</v>
      </c>
      <c r="DN54" s="242"/>
      <c r="DO54" s="242">
        <f>SUM(DO45:DO53)</f>
        <v>2988979.2</v>
      </c>
      <c r="DP54" s="241"/>
      <c r="DQ54" s="242">
        <f>SUM(DQ45:DQ53)</f>
        <v>69882</v>
      </c>
      <c r="DR54" s="242">
        <f>SUM(DR45:DR53)</f>
        <v>0</v>
      </c>
      <c r="DS54" s="242">
        <f>SUM(DS45:DS53)</f>
        <v>0</v>
      </c>
      <c r="DT54" s="242">
        <f>SUM(DT45:DT53)</f>
        <v>0</v>
      </c>
      <c r="DU54" s="242"/>
      <c r="DV54" s="242">
        <f>SUM(DV45:DV53)</f>
        <v>69882</v>
      </c>
      <c r="DW54" s="241"/>
      <c r="DX54" s="242">
        <f>SUM(DX45:DX53)</f>
        <v>6731913.6600000001</v>
      </c>
      <c r="DY54" s="242">
        <f>SUM(DY45:DY53)</f>
        <v>12870143.75</v>
      </c>
      <c r="DZ54" s="242">
        <f>SUM(DZ45:DZ53)</f>
        <v>0</v>
      </c>
      <c r="EA54" s="242">
        <f>SUM(EA45:EA53)</f>
        <v>0</v>
      </c>
      <c r="EB54" s="242"/>
      <c r="EC54" s="242">
        <f>SUM(EC45:EC53)</f>
        <v>19602057.41</v>
      </c>
      <c r="ED54" s="241"/>
      <c r="EE54" s="242">
        <f>SUM(EE45:EE53)</f>
        <v>6155239.7300000004</v>
      </c>
      <c r="EF54" s="242">
        <f>SUM(EF45:EF53)</f>
        <v>11239023.23</v>
      </c>
      <c r="EG54" s="242">
        <f>SUM(EG45:EG53)</f>
        <v>0</v>
      </c>
      <c r="EH54" s="242">
        <f>SUM(EH45:EH53)</f>
        <v>0</v>
      </c>
      <c r="EI54" s="242"/>
      <c r="EJ54" s="242">
        <f>SUM(EJ45:EJ53)</f>
        <v>17394262.960000001</v>
      </c>
      <c r="EK54" s="241"/>
      <c r="EL54" s="242">
        <f>SUM(EL45:EL53)</f>
        <v>6385795.1299999999</v>
      </c>
      <c r="EM54" s="242">
        <f>SUM(EM45:EM53)</f>
        <v>7775177.2300000004</v>
      </c>
      <c r="EN54" s="242">
        <f>SUM(EN45:EN53)</f>
        <v>0</v>
      </c>
      <c r="EO54" s="242">
        <f>SUM(EO45:EO53)</f>
        <v>0</v>
      </c>
      <c r="EP54" s="242"/>
      <c r="EQ54" s="242">
        <f>SUM(EQ45:EQ53)</f>
        <v>14160972.359999999</v>
      </c>
      <c r="ER54" s="241"/>
      <c r="ES54" s="242">
        <f>SUM(ES45:ES53)</f>
        <v>-164412.45000000001</v>
      </c>
      <c r="ET54" s="242">
        <f>SUM(ET45:ET53)</f>
        <v>897952.35</v>
      </c>
      <c r="EU54" s="242">
        <f>SUM(EU45:EU53)</f>
        <v>0</v>
      </c>
      <c r="EV54" s="242">
        <f>SUM(EV45:EV53)</f>
        <v>0</v>
      </c>
      <c r="EW54" s="242"/>
      <c r="EX54" s="242">
        <f>SUM(EX45:EX53)</f>
        <v>733539.9</v>
      </c>
      <c r="EY54" s="241"/>
      <c r="EZ54" s="242">
        <f>SUM(EZ45:EZ53)</f>
        <v>398530.34</v>
      </c>
      <c r="FA54" s="242">
        <f>SUM(FA45:FA53)</f>
        <v>5926479.2599999998</v>
      </c>
      <c r="FB54" s="242">
        <f>SUM(FB45:FB53)</f>
        <v>0</v>
      </c>
      <c r="FC54" s="242">
        <f>SUM(FC45:FC53)</f>
        <v>0</v>
      </c>
      <c r="FD54" s="242"/>
      <c r="FE54" s="242">
        <f>SUM(FE45:FE53)</f>
        <v>6325009.5999999987</v>
      </c>
      <c r="FF54" s="241"/>
      <c r="FG54" s="242">
        <f>SUM(FG45:FG53)</f>
        <v>174959.05</v>
      </c>
      <c r="FH54" s="242">
        <f>SUM(FH45:FH53)</f>
        <v>5305592.79</v>
      </c>
      <c r="FI54" s="242">
        <f>SUM(FI45:FI53)</f>
        <v>0</v>
      </c>
      <c r="FJ54" s="242">
        <f>SUM(FJ45:FJ53)</f>
        <v>0</v>
      </c>
      <c r="FK54" s="242"/>
      <c r="FL54" s="242">
        <f>SUM(FL45:FL53)</f>
        <v>5480551.8399999999</v>
      </c>
      <c r="FM54" s="241"/>
      <c r="FN54" s="242">
        <f>SUM(FN45:FN53)</f>
        <v>125420.95999999999</v>
      </c>
      <c r="FO54" s="242">
        <f>SUM(FO45:FO53)</f>
        <v>4010379.39</v>
      </c>
      <c r="FP54" s="242">
        <f>SUM(FP45:FP53)</f>
        <v>0</v>
      </c>
      <c r="FQ54" s="242">
        <f>SUM(FQ45:FQ53)</f>
        <v>0</v>
      </c>
      <c r="FR54" s="242"/>
      <c r="FS54" s="242">
        <f>SUM(FS45:FS53)</f>
        <v>4135800.35</v>
      </c>
      <c r="FT54" s="241"/>
      <c r="FU54" s="242">
        <f>SUM(FU45:FU53)</f>
        <v>150000</v>
      </c>
      <c r="FV54" s="242">
        <f>SUM(FV45:FV53)</f>
        <v>1835983.6</v>
      </c>
      <c r="FW54" s="242">
        <f>SUM(FW45:FW53)</f>
        <v>0</v>
      </c>
      <c r="FX54" s="242">
        <f>SUM(FX45:FX53)</f>
        <v>0</v>
      </c>
      <c r="FY54" s="242"/>
      <c r="FZ54" s="242">
        <f>SUM(FZ45:FZ53)</f>
        <v>1985983.6</v>
      </c>
      <c r="GB54" s="242">
        <f>SUM(GB45:GB53)</f>
        <v>-308687.51</v>
      </c>
      <c r="GC54" s="242">
        <f>SUM(GC45:GC53)</f>
        <v>5653852.5</v>
      </c>
      <c r="GD54" s="242">
        <f>SUM(GD45:GD53)</f>
        <v>0</v>
      </c>
      <c r="GE54" s="242">
        <f>SUM(GE45:GE53)</f>
        <v>0</v>
      </c>
      <c r="GF54" s="242"/>
      <c r="GG54" s="242">
        <f>SUM(GG45:GG53)</f>
        <v>5345164.99</v>
      </c>
      <c r="GI54" s="242">
        <f>SUM(GI45:GI53)</f>
        <v>-392195.1</v>
      </c>
      <c r="GJ54" s="242">
        <f>SUM(GJ45:GJ53)</f>
        <v>4350734.5</v>
      </c>
      <c r="GK54" s="242">
        <f>SUM(GK45:GK53)</f>
        <v>0</v>
      </c>
      <c r="GL54" s="242">
        <f>SUM(GL45:GL53)</f>
        <v>0</v>
      </c>
      <c r="GM54" s="242"/>
      <c r="GN54" s="242">
        <f>SUM(GN45:GN53)</f>
        <v>3958539.4000000004</v>
      </c>
      <c r="GP54" s="242">
        <f>SUM(GP45:GP53)</f>
        <v>254053.96</v>
      </c>
      <c r="GQ54" s="242">
        <f>SUM(GQ45:GQ53)</f>
        <v>2983730</v>
      </c>
      <c r="GR54" s="242">
        <f>SUM(GR45:GR53)</f>
        <v>0</v>
      </c>
      <c r="GS54" s="242">
        <f>SUM(GS45:GS53)</f>
        <v>0</v>
      </c>
      <c r="GT54" s="242"/>
      <c r="GU54" s="242">
        <f>SUM(GU45:GU53)</f>
        <v>3237783.96</v>
      </c>
      <c r="GW54" s="242">
        <f>SUM(GW45:GW53)</f>
        <v>244051.86</v>
      </c>
      <c r="GX54" s="242">
        <f>SUM(GX45:GX53)</f>
        <v>1541630</v>
      </c>
      <c r="GY54" s="242">
        <f>SUM(GY45:GY53)</f>
        <v>0</v>
      </c>
      <c r="GZ54" s="242">
        <f>SUM(GZ45:GZ53)</f>
        <v>0</v>
      </c>
      <c r="HA54" s="242"/>
      <c r="HB54" s="242">
        <f>SUM(HB45:HB53)</f>
        <v>1785681.8599999999</v>
      </c>
    </row>
    <row r="55" spans="1:211" ht="12.75" customHeight="1">
      <c r="B55" s="82"/>
      <c r="I55" s="82"/>
      <c r="P55" s="82"/>
      <c r="W55" s="82"/>
      <c r="AD55" s="82"/>
      <c r="AK55" s="82"/>
      <c r="AR55" s="82"/>
      <c r="AY55" s="82"/>
      <c r="BF55" s="82"/>
      <c r="BM55" s="82"/>
      <c r="BT55" s="82"/>
      <c r="CA55" s="82"/>
      <c r="CH55" s="82"/>
      <c r="CO55" s="82"/>
      <c r="CV55" s="82"/>
      <c r="DC55" s="82"/>
      <c r="DJ55" s="82"/>
      <c r="DQ55" s="82"/>
      <c r="DX55" s="82"/>
      <c r="EE55" s="82"/>
      <c r="EL55" s="82"/>
      <c r="ES55" s="82"/>
      <c r="EZ55" s="82"/>
      <c r="FG55" s="82"/>
      <c r="FN55" s="82"/>
      <c r="FU55" s="82"/>
      <c r="GB55" s="82"/>
      <c r="GI55" s="82"/>
      <c r="GP55" s="82"/>
      <c r="GW55" s="82"/>
    </row>
    <row r="56" spans="1:211" ht="12.75" customHeight="1">
      <c r="B56" s="252">
        <f>+B21-B54+B42</f>
        <v>277863.61</v>
      </c>
      <c r="C56" s="252">
        <f>+C21-C54+C42</f>
        <v>127352.16</v>
      </c>
      <c r="I56" s="252">
        <f>+I21-I54+I42</f>
        <v>1153261.1799999997</v>
      </c>
      <c r="J56" s="252">
        <f>+J21-J54+J42</f>
        <v>555652.37</v>
      </c>
      <c r="P56" s="252">
        <v>894605.84000000008</v>
      </c>
      <c r="Q56" s="252">
        <v>371214.94</v>
      </c>
      <c r="W56" s="252">
        <f>+W21-W54+W42</f>
        <v>629889.60000000009</v>
      </c>
      <c r="X56" s="252">
        <f>+X21-X54+X42</f>
        <v>229747.54</v>
      </c>
      <c r="AD56" s="252">
        <f>+AD21-AD54+AD42</f>
        <v>295515.45</v>
      </c>
      <c r="AE56" s="252">
        <f>+AE21-AE54+AE42</f>
        <v>119212.35</v>
      </c>
      <c r="AK56" s="252">
        <f>+AK21-AK54+AK42</f>
        <v>1471970.0299999998</v>
      </c>
      <c r="AL56" s="252">
        <f>+AL21-AL54+AL42</f>
        <v>407511.75999999995</v>
      </c>
      <c r="AR56" s="252">
        <f>+AR21-AR54+AR42</f>
        <v>1168113.9700000002</v>
      </c>
      <c r="AS56" s="252">
        <f>+AS21-AS54+AS42</f>
        <v>242342.76</v>
      </c>
      <c r="AY56" s="252">
        <f>+AY21-AY54+AY42</f>
        <v>807444.16</v>
      </c>
      <c r="AZ56" s="252">
        <f>+AZ21-AZ54+AZ42</f>
        <v>154905.26</v>
      </c>
      <c r="BF56" s="252">
        <f>+BF21-BF54+BF42</f>
        <v>413273.04000000004</v>
      </c>
      <c r="BG56" s="252">
        <f>+BG21-BG54+BG42</f>
        <v>74428.14</v>
      </c>
      <c r="BM56" s="252">
        <f>+BM21-BM54+BM42</f>
        <v>1709055.39</v>
      </c>
      <c r="BN56" s="252">
        <f>+BN21-BN54+BN42</f>
        <v>684550.82</v>
      </c>
      <c r="BT56" s="252">
        <f>+BT21-BT54+BT42</f>
        <v>1208024.21</v>
      </c>
      <c r="BU56" s="252">
        <f>+BU21-BU54+BU42</f>
        <v>625077.63</v>
      </c>
      <c r="CA56" s="252">
        <f>+CA21-CA54+CA42</f>
        <v>814493.1</v>
      </c>
      <c r="CB56" s="252">
        <f>+CB21-CB54+CB42</f>
        <v>494546.91</v>
      </c>
      <c r="CH56" s="252">
        <f>+CH21-CH54+CH42</f>
        <v>448593.16</v>
      </c>
      <c r="CI56" s="252">
        <f>+CI21-CI54+CI42</f>
        <v>396221.33</v>
      </c>
      <c r="CO56" s="252">
        <f>+CO21-CO54+CO42</f>
        <v>352312.52</v>
      </c>
      <c r="CP56" s="252">
        <f>+CP21-CP54+CP42</f>
        <v>117853.39</v>
      </c>
      <c r="CV56" s="252">
        <f>+CV21-CV54+CV42</f>
        <v>1041346.76</v>
      </c>
      <c r="CW56" s="252">
        <f>+CW21-CW54+CW42</f>
        <v>273190.56</v>
      </c>
      <c r="DC56" s="252">
        <f>+DC21-DC54+DC42</f>
        <v>693994.22999999986</v>
      </c>
      <c r="DD56" s="252">
        <f>+DD21-DD54+DD42</f>
        <v>183605.66</v>
      </c>
      <c r="DJ56" s="252">
        <f>+DJ21-DJ54+DJ42</f>
        <v>455114.98</v>
      </c>
      <c r="DK56" s="252">
        <f>+DK21-DK54+DK42</f>
        <v>95712.61</v>
      </c>
      <c r="DQ56" s="252">
        <f>+DQ21-DQ54+DQ42</f>
        <v>322987.28000000003</v>
      </c>
      <c r="DR56" s="252">
        <f>+DR21-DR54+DR42</f>
        <v>51941.98</v>
      </c>
      <c r="DX56" s="252">
        <f>+DX21-DX54+DX42</f>
        <v>1837894.2199999997</v>
      </c>
      <c r="DY56" s="252">
        <f>+DY21-DY54+DY42</f>
        <v>350452.76999999996</v>
      </c>
      <c r="EE56" s="252">
        <f>+EE21-EE54+EE42</f>
        <v>1566353.8099999996</v>
      </c>
      <c r="EF56" s="252">
        <f>+EF21-EF54+EF42</f>
        <v>217868.13</v>
      </c>
      <c r="EL56" s="252">
        <f>+EL21-EL54+EL42</f>
        <v>1046502.7199999997</v>
      </c>
      <c r="EM56" s="252">
        <f>+EM21-EM54+EM42</f>
        <v>147185.47</v>
      </c>
      <c r="ES56" s="252">
        <f>+ES21-ES54+ES42</f>
        <v>528938.97</v>
      </c>
      <c r="ET56" s="252">
        <f>+ET21-ET54+ET42</f>
        <v>110549.35</v>
      </c>
      <c r="EZ56" s="252">
        <f>+EZ21-EZ54+EZ42</f>
        <v>2477731.4299999997</v>
      </c>
      <c r="FA56" s="252">
        <f>+FA21-FA54+FA42</f>
        <v>300312.62000000005</v>
      </c>
      <c r="FG56" s="252">
        <f>+FG21-FG54+FG42</f>
        <v>1928184.18</v>
      </c>
      <c r="FH56" s="252">
        <f>+FH21-FH54+FH42</f>
        <v>215596.08</v>
      </c>
      <c r="FN56" s="252">
        <f>+FN21-FN54+FN42</f>
        <v>1342675.71</v>
      </c>
      <c r="FO56" s="252">
        <f>+FO21-FO54+FO42</f>
        <v>133376.33000000002</v>
      </c>
      <c r="FU56" s="252">
        <f>+FU21-FU54+FU42</f>
        <v>595848.87999999989</v>
      </c>
      <c r="FV56" s="252">
        <f>+FV21-FV54+FV42</f>
        <v>29600.77</v>
      </c>
      <c r="GB56" s="252">
        <f>+GB21-GB54+GB42</f>
        <v>28237358.920000002</v>
      </c>
      <c r="GC56" s="252">
        <f>+GC21-GC54+GC42</f>
        <v>204532.98</v>
      </c>
      <c r="GI56" s="252">
        <f>+GI21-GI54+GI42</f>
        <v>27531520.270000003</v>
      </c>
      <c r="GJ56" s="252">
        <f>+GJ21-GJ54+GJ42</f>
        <v>168159.19</v>
      </c>
      <c r="GP56" s="252">
        <f>+GP21-GP54+GP42</f>
        <v>1803237.8</v>
      </c>
      <c r="GQ56" s="252">
        <f>+GQ21-GQ54+GQ42</f>
        <v>125885.98</v>
      </c>
      <c r="GW56" s="252">
        <f>+GW21-GW54+GW42</f>
        <v>193744.68</v>
      </c>
      <c r="GX56" s="252">
        <f>+GX21-GX54+GX42</f>
        <v>50268.42</v>
      </c>
    </row>
    <row r="57" spans="1:211" ht="12.75" customHeight="1">
      <c r="B57" s="82"/>
      <c r="I57" s="82"/>
      <c r="P57" s="82"/>
      <c r="W57" s="82"/>
      <c r="AD57" s="82"/>
      <c r="AK57" s="82"/>
      <c r="AR57" s="82"/>
      <c r="AY57" s="82"/>
      <c r="BF57" s="82"/>
      <c r="BM57" s="82"/>
      <c r="BT57" s="82"/>
      <c r="CA57" s="82"/>
      <c r="CH57" s="82"/>
      <c r="CO57" s="82"/>
      <c r="CV57" s="82"/>
      <c r="DC57" s="82"/>
      <c r="DJ57" s="82"/>
      <c r="DQ57" s="82"/>
      <c r="DX57" s="82"/>
      <c r="EE57" s="82"/>
      <c r="EL57" s="82"/>
      <c r="ES57" s="82"/>
      <c r="EZ57" s="82"/>
      <c r="FG57" s="82"/>
      <c r="FN57" s="82"/>
      <c r="FU57" s="82"/>
      <c r="GB57" s="82"/>
      <c r="GI57" s="82"/>
      <c r="GP57" s="82"/>
      <c r="GW57" s="82"/>
    </row>
    <row r="58" spans="1:211" ht="12.75" customHeight="1">
      <c r="B58" s="82"/>
      <c r="I58" s="82"/>
      <c r="P58" s="82"/>
      <c r="W58" s="82"/>
      <c r="AD58" s="82"/>
      <c r="AK58" s="82"/>
      <c r="AR58" s="82"/>
      <c r="AY58" s="82"/>
      <c r="BF58" s="82"/>
      <c r="BM58" s="82"/>
      <c r="BT58" s="82"/>
      <c r="CA58" s="82"/>
      <c r="CH58" s="82"/>
      <c r="CO58" s="82"/>
      <c r="CV58" s="82"/>
      <c r="DC58" s="82"/>
      <c r="DJ58" s="82"/>
      <c r="DQ58" s="82"/>
      <c r="DX58" s="82"/>
      <c r="EE58" s="82"/>
      <c r="EL58" s="82"/>
      <c r="ES58" s="82"/>
      <c r="EZ58" s="82"/>
      <c r="FG58" s="82"/>
      <c r="FN58" s="82"/>
      <c r="FU58" s="82"/>
      <c r="GB58" s="82"/>
      <c r="GI58" s="82"/>
      <c r="GP58" s="82"/>
      <c r="GW58" s="82"/>
    </row>
    <row r="59" spans="1:211" ht="12.75" customHeight="1">
      <c r="B59" s="82"/>
      <c r="I59" s="82"/>
      <c r="P59" s="82"/>
      <c r="W59" s="82"/>
      <c r="AD59" s="82"/>
      <c r="AK59" s="82"/>
      <c r="AR59" s="82"/>
      <c r="AY59" s="82"/>
      <c r="BF59" s="82"/>
      <c r="BM59" s="82"/>
      <c r="BT59" s="82"/>
      <c r="CA59" s="82"/>
      <c r="CH59" s="82"/>
      <c r="CO59" s="82"/>
      <c r="CV59" s="82"/>
      <c r="DC59" s="82"/>
      <c r="DJ59" s="82"/>
      <c r="DQ59" s="82"/>
      <c r="DX59" s="82"/>
      <c r="EE59" s="82"/>
      <c r="EL59" s="82"/>
      <c r="ES59" s="82"/>
      <c r="EZ59" s="82"/>
      <c r="FG59" s="82"/>
      <c r="FN59" s="82"/>
      <c r="FU59" s="82"/>
      <c r="GB59" s="82"/>
      <c r="GI59" s="82"/>
      <c r="GP59" s="82"/>
      <c r="GW59" s="82"/>
    </row>
    <row r="62" spans="1:211" ht="12.75" customHeight="1">
      <c r="A62" s="279" t="s">
        <v>504</v>
      </c>
      <c r="B62" s="30"/>
      <c r="C62" s="279"/>
      <c r="D62" s="279"/>
      <c r="E62" s="279"/>
      <c r="F62" s="279"/>
      <c r="G62" s="279"/>
      <c r="H62" s="279"/>
      <c r="I62" s="30"/>
      <c r="J62" s="279"/>
      <c r="K62" s="279"/>
      <c r="L62" s="279"/>
      <c r="M62" s="279"/>
      <c r="N62" s="279"/>
      <c r="O62" s="279"/>
      <c r="P62" s="30"/>
      <c r="Q62" s="279"/>
      <c r="R62" s="279"/>
      <c r="S62" s="279"/>
      <c r="T62" s="279"/>
      <c r="U62" s="279"/>
      <c r="V62" s="279"/>
      <c r="W62" s="30"/>
      <c r="X62" s="279"/>
      <c r="Y62" s="279"/>
      <c r="Z62" s="279"/>
      <c r="AA62" s="279"/>
      <c r="AB62" s="279"/>
      <c r="AC62" s="279"/>
      <c r="AD62" s="30"/>
      <c r="AE62" s="279"/>
      <c r="AF62" s="279"/>
      <c r="AG62" s="279"/>
      <c r="AH62" s="279"/>
      <c r="AI62" s="279"/>
      <c r="AJ62" s="279"/>
      <c r="AK62" s="30"/>
      <c r="AL62" s="279"/>
      <c r="AM62" s="279"/>
      <c r="AN62" s="279"/>
      <c r="AO62" s="279"/>
      <c r="AP62" s="279"/>
      <c r="AQ62" s="279"/>
      <c r="AR62" s="30"/>
      <c r="AS62" s="279"/>
      <c r="AT62" s="279"/>
      <c r="AU62" s="279"/>
      <c r="AV62" s="279"/>
      <c r="AW62" s="279"/>
      <c r="AX62" s="279"/>
      <c r="AY62" s="30"/>
      <c r="AZ62" s="279"/>
      <c r="BA62" s="279"/>
      <c r="BB62" s="279"/>
      <c r="BC62" s="279"/>
      <c r="BD62" s="279"/>
      <c r="BE62" s="279"/>
      <c r="BF62" s="30"/>
      <c r="BG62" s="279"/>
      <c r="BH62" s="279"/>
      <c r="BI62" s="279"/>
      <c r="BJ62" s="279"/>
      <c r="BK62" s="279"/>
      <c r="BL62" s="279"/>
      <c r="BM62" s="30"/>
      <c r="BN62" s="279"/>
      <c r="BO62" s="279"/>
      <c r="BP62" s="279"/>
      <c r="BQ62" s="279"/>
      <c r="BR62" s="279"/>
      <c r="BS62" s="279"/>
      <c r="BT62" s="30"/>
      <c r="BU62" s="279"/>
      <c r="BV62" s="279"/>
      <c r="BW62" s="279"/>
      <c r="BX62" s="279"/>
      <c r="BY62" s="279"/>
      <c r="BZ62" s="279"/>
      <c r="CA62" s="30"/>
      <c r="CB62" s="279"/>
      <c r="CC62" s="279"/>
      <c r="CD62" s="279"/>
      <c r="CE62" s="279"/>
      <c r="CF62" s="279"/>
      <c r="CG62" s="279"/>
      <c r="CH62" s="30"/>
      <c r="CI62" s="279"/>
      <c r="CJ62" s="279"/>
      <c r="CK62" s="279"/>
      <c r="CL62" s="279"/>
      <c r="CM62" s="279"/>
      <c r="CN62" s="279"/>
      <c r="CO62" s="30"/>
      <c r="CP62" s="279"/>
      <c r="CQ62" s="279"/>
      <c r="CR62" s="279"/>
      <c r="CS62" s="279"/>
      <c r="CT62" s="279"/>
      <c r="CU62" s="279"/>
      <c r="CV62" s="30"/>
      <c r="CW62" s="279"/>
      <c r="CX62" s="279"/>
      <c r="CY62" s="279"/>
      <c r="CZ62" s="279"/>
      <c r="DA62" s="279"/>
      <c r="DB62" s="279"/>
      <c r="DC62" s="30"/>
      <c r="DD62" s="279"/>
      <c r="DE62" s="279"/>
      <c r="DF62" s="279"/>
      <c r="DG62" s="279"/>
      <c r="DH62" s="279"/>
      <c r="DI62" s="279"/>
      <c r="DJ62" s="30"/>
      <c r="DK62" s="279"/>
      <c r="DL62" s="279"/>
      <c r="DM62" s="279"/>
      <c r="DN62" s="279"/>
      <c r="DO62" s="279"/>
      <c r="DP62" s="279"/>
      <c r="DQ62" s="30"/>
      <c r="DR62" s="279"/>
      <c r="DS62" s="279"/>
      <c r="DT62" s="279"/>
      <c r="DU62" s="279"/>
      <c r="DV62" s="279"/>
      <c r="DW62" s="279"/>
      <c r="DX62" s="30"/>
      <c r="DY62" s="279"/>
      <c r="DZ62" s="279"/>
      <c r="EA62" s="279"/>
      <c r="EB62" s="279"/>
      <c r="EC62" s="279"/>
      <c r="ED62" s="279"/>
      <c r="EE62" s="30"/>
      <c r="EF62" s="279"/>
      <c r="EG62" s="279"/>
      <c r="EH62" s="279"/>
      <c r="EI62" s="279"/>
      <c r="EJ62" s="279"/>
      <c r="EK62" s="279"/>
      <c r="EL62" s="30"/>
      <c r="EM62" s="279"/>
      <c r="EN62" s="279"/>
      <c r="EO62" s="279"/>
      <c r="EP62" s="279"/>
      <c r="EQ62" s="279"/>
      <c r="ER62" s="279"/>
      <c r="ES62" s="30"/>
      <c r="ET62" s="279"/>
      <c r="EU62" s="279"/>
      <c r="EV62" s="279"/>
      <c r="EW62" s="279"/>
      <c r="EX62" s="279"/>
      <c r="EY62" s="279"/>
      <c r="EZ62" s="30"/>
      <c r="FA62" s="279"/>
      <c r="FB62" s="279"/>
      <c r="FC62" s="279"/>
      <c r="FD62" s="279"/>
      <c r="FE62" s="279"/>
      <c r="FF62" s="279"/>
      <c r="FG62" s="30"/>
      <c r="FH62" s="279"/>
      <c r="FI62" s="279"/>
      <c r="FJ62" s="279"/>
      <c r="FK62" s="279"/>
      <c r="FL62" s="279"/>
      <c r="FM62" s="279"/>
      <c r="FN62" s="30"/>
      <c r="FO62" s="279"/>
      <c r="FP62" s="279"/>
      <c r="FQ62" s="279"/>
      <c r="FR62" s="279"/>
      <c r="FS62" s="279"/>
      <c r="FT62" s="279"/>
      <c r="FU62" s="30"/>
      <c r="FV62" s="279"/>
      <c r="FW62" s="279"/>
      <c r="FX62" s="279"/>
      <c r="FY62" s="279"/>
      <c r="FZ62" s="279"/>
      <c r="GA62" s="279"/>
      <c r="GB62" s="30"/>
      <c r="GC62" s="279"/>
      <c r="GD62" s="279"/>
      <c r="GE62" s="279"/>
      <c r="GF62" s="279"/>
      <c r="GG62" s="279"/>
      <c r="GH62" s="279"/>
      <c r="GI62" s="30"/>
      <c r="GJ62" s="279"/>
      <c r="GK62" s="279"/>
      <c r="GL62" s="279"/>
      <c r="GM62" s="279"/>
      <c r="GN62" s="279"/>
      <c r="GO62" s="279"/>
      <c r="GP62" s="279" t="s">
        <v>565</v>
      </c>
      <c r="GQ62" s="279"/>
      <c r="GR62" s="279"/>
      <c r="GS62" s="279"/>
      <c r="GT62" s="279"/>
      <c r="GU62" s="279"/>
      <c r="GV62" s="279"/>
      <c r="GW62" s="279" t="s">
        <v>555</v>
      </c>
      <c r="GX62" s="279"/>
      <c r="GY62" s="279"/>
      <c r="GZ62" s="279"/>
      <c r="HA62" s="279"/>
      <c r="HB62" s="279"/>
      <c r="HC62" s="279"/>
    </row>
    <row r="63" spans="1:211" ht="12.75" customHeight="1">
      <c r="A63" s="279"/>
      <c r="B63" s="248" t="s">
        <v>431</v>
      </c>
      <c r="C63" s="248" t="s">
        <v>253</v>
      </c>
      <c r="D63" s="268" t="s">
        <v>420</v>
      </c>
      <c r="E63" s="248" t="s">
        <v>311</v>
      </c>
      <c r="F63" s="248" t="s">
        <v>516</v>
      </c>
      <c r="G63" s="247" t="s">
        <v>381</v>
      </c>
      <c r="H63" s="279"/>
      <c r="I63" s="248" t="s">
        <v>431</v>
      </c>
      <c r="J63" s="248" t="s">
        <v>253</v>
      </c>
      <c r="K63" s="268" t="s">
        <v>420</v>
      </c>
      <c r="L63" s="248" t="s">
        <v>311</v>
      </c>
      <c r="M63" s="248" t="s">
        <v>516</v>
      </c>
      <c r="N63" s="247" t="s">
        <v>381</v>
      </c>
      <c r="O63" s="279"/>
      <c r="P63" s="248" t="s">
        <v>431</v>
      </c>
      <c r="Q63" s="248" t="s">
        <v>253</v>
      </c>
      <c r="R63" s="268" t="s">
        <v>420</v>
      </c>
      <c r="S63" s="248" t="s">
        <v>311</v>
      </c>
      <c r="T63" s="248" t="s">
        <v>516</v>
      </c>
      <c r="U63" s="247" t="s">
        <v>381</v>
      </c>
      <c r="V63" s="279"/>
      <c r="W63" s="248" t="s">
        <v>431</v>
      </c>
      <c r="X63" s="248" t="s">
        <v>253</v>
      </c>
      <c r="Y63" s="268" t="s">
        <v>420</v>
      </c>
      <c r="Z63" s="248" t="s">
        <v>311</v>
      </c>
      <c r="AA63" s="248" t="s">
        <v>516</v>
      </c>
      <c r="AB63" s="247" t="s">
        <v>381</v>
      </c>
      <c r="AC63" s="247"/>
      <c r="AD63" s="248" t="s">
        <v>431</v>
      </c>
      <c r="AE63" s="248" t="s">
        <v>253</v>
      </c>
      <c r="AF63" s="268" t="s">
        <v>420</v>
      </c>
      <c r="AG63" s="248" t="s">
        <v>311</v>
      </c>
      <c r="AH63" s="248" t="s">
        <v>516</v>
      </c>
      <c r="AI63" s="247" t="s">
        <v>381</v>
      </c>
      <c r="AJ63" s="247"/>
      <c r="AK63" s="248" t="s">
        <v>431</v>
      </c>
      <c r="AL63" s="248" t="s">
        <v>253</v>
      </c>
      <c r="AM63" s="268" t="s">
        <v>420</v>
      </c>
      <c r="AN63" s="248" t="s">
        <v>311</v>
      </c>
      <c r="AO63" s="248" t="s">
        <v>516</v>
      </c>
      <c r="AP63" s="247" t="s">
        <v>381</v>
      </c>
      <c r="AQ63" s="247"/>
      <c r="AR63" s="248" t="s">
        <v>431</v>
      </c>
      <c r="AS63" s="248" t="s">
        <v>253</v>
      </c>
      <c r="AT63" s="268" t="s">
        <v>420</v>
      </c>
      <c r="AU63" s="248" t="s">
        <v>311</v>
      </c>
      <c r="AV63" s="248" t="s">
        <v>516</v>
      </c>
      <c r="AW63" s="247" t="s">
        <v>381</v>
      </c>
      <c r="AX63" s="247"/>
      <c r="AY63" s="248" t="s">
        <v>431</v>
      </c>
      <c r="AZ63" s="248" t="s">
        <v>253</v>
      </c>
      <c r="BA63" s="268" t="s">
        <v>420</v>
      </c>
      <c r="BB63" s="248" t="s">
        <v>311</v>
      </c>
      <c r="BC63" s="248" t="s">
        <v>516</v>
      </c>
      <c r="BD63" s="247" t="s">
        <v>381</v>
      </c>
      <c r="BE63" s="247"/>
      <c r="BF63" s="248" t="s">
        <v>431</v>
      </c>
      <c r="BG63" s="248" t="s">
        <v>253</v>
      </c>
      <c r="BH63" s="268" t="s">
        <v>420</v>
      </c>
      <c r="BI63" s="248" t="s">
        <v>311</v>
      </c>
      <c r="BJ63" s="248" t="s">
        <v>516</v>
      </c>
      <c r="BK63" s="247" t="s">
        <v>381</v>
      </c>
      <c r="BL63" s="247"/>
      <c r="BM63" s="248" t="s">
        <v>431</v>
      </c>
      <c r="BN63" s="248" t="s">
        <v>253</v>
      </c>
      <c r="BO63" s="268" t="s">
        <v>420</v>
      </c>
      <c r="BP63" s="248" t="s">
        <v>311</v>
      </c>
      <c r="BQ63" s="248" t="s">
        <v>516</v>
      </c>
      <c r="BR63" s="247" t="s">
        <v>381</v>
      </c>
      <c r="BS63" s="247"/>
      <c r="BT63" s="248" t="s">
        <v>431</v>
      </c>
      <c r="BU63" s="248" t="s">
        <v>253</v>
      </c>
      <c r="BV63" s="268" t="s">
        <v>420</v>
      </c>
      <c r="BW63" s="248" t="s">
        <v>311</v>
      </c>
      <c r="BX63" s="248" t="s">
        <v>516</v>
      </c>
      <c r="BY63" s="247" t="s">
        <v>381</v>
      </c>
      <c r="BZ63" s="247"/>
      <c r="CA63" s="248" t="s">
        <v>431</v>
      </c>
      <c r="CB63" s="248" t="s">
        <v>253</v>
      </c>
      <c r="CC63" s="268" t="s">
        <v>420</v>
      </c>
      <c r="CD63" s="248" t="s">
        <v>311</v>
      </c>
      <c r="CE63" s="248" t="s">
        <v>516</v>
      </c>
      <c r="CF63" s="247" t="s">
        <v>381</v>
      </c>
      <c r="CG63" s="247"/>
      <c r="CH63" s="248" t="s">
        <v>431</v>
      </c>
      <c r="CI63" s="248" t="s">
        <v>253</v>
      </c>
      <c r="CJ63" s="268" t="s">
        <v>420</v>
      </c>
      <c r="CK63" s="248" t="s">
        <v>311</v>
      </c>
      <c r="CL63" s="248" t="s">
        <v>516</v>
      </c>
      <c r="CM63" s="247" t="s">
        <v>381</v>
      </c>
      <c r="CN63" s="247"/>
      <c r="CO63" s="248" t="s">
        <v>431</v>
      </c>
      <c r="CP63" s="248" t="s">
        <v>253</v>
      </c>
      <c r="CQ63" s="268" t="s">
        <v>420</v>
      </c>
      <c r="CR63" s="248" t="s">
        <v>311</v>
      </c>
      <c r="CS63" s="248" t="s">
        <v>516</v>
      </c>
      <c r="CT63" s="247" t="s">
        <v>381</v>
      </c>
      <c r="CU63" s="247"/>
      <c r="CV63" s="248" t="s">
        <v>431</v>
      </c>
      <c r="CW63" s="248" t="s">
        <v>253</v>
      </c>
      <c r="CX63" s="268" t="s">
        <v>420</v>
      </c>
      <c r="CY63" s="248" t="s">
        <v>311</v>
      </c>
      <c r="CZ63" s="248" t="s">
        <v>516</v>
      </c>
      <c r="DA63" s="247" t="s">
        <v>381</v>
      </c>
      <c r="DB63" s="247"/>
      <c r="DC63" s="248" t="s">
        <v>431</v>
      </c>
      <c r="DD63" s="248" t="s">
        <v>253</v>
      </c>
      <c r="DE63" s="268" t="s">
        <v>420</v>
      </c>
      <c r="DF63" s="248" t="s">
        <v>311</v>
      </c>
      <c r="DG63" s="248" t="s">
        <v>516</v>
      </c>
      <c r="DH63" s="247" t="s">
        <v>381</v>
      </c>
      <c r="DI63" s="247"/>
      <c r="DJ63" s="248" t="s">
        <v>431</v>
      </c>
      <c r="DK63" s="248" t="s">
        <v>253</v>
      </c>
      <c r="DL63" s="268" t="s">
        <v>420</v>
      </c>
      <c r="DM63" s="248" t="s">
        <v>311</v>
      </c>
      <c r="DN63" s="248" t="s">
        <v>516</v>
      </c>
      <c r="DO63" s="247" t="s">
        <v>381</v>
      </c>
      <c r="DP63" s="247"/>
      <c r="DQ63" s="248" t="s">
        <v>431</v>
      </c>
      <c r="DR63" s="248" t="s">
        <v>253</v>
      </c>
      <c r="DS63" s="268" t="s">
        <v>420</v>
      </c>
      <c r="DT63" s="248" t="s">
        <v>311</v>
      </c>
      <c r="DU63" s="248" t="s">
        <v>516</v>
      </c>
      <c r="DV63" s="247" t="s">
        <v>381</v>
      </c>
      <c r="DW63" s="247"/>
      <c r="DX63" s="248" t="s">
        <v>431</v>
      </c>
      <c r="DY63" s="248" t="s">
        <v>253</v>
      </c>
      <c r="DZ63" s="268" t="s">
        <v>420</v>
      </c>
      <c r="EA63" s="248" t="s">
        <v>311</v>
      </c>
      <c r="EB63" s="248" t="s">
        <v>516</v>
      </c>
      <c r="EC63" s="247" t="s">
        <v>381</v>
      </c>
      <c r="ED63" s="247"/>
      <c r="EE63" s="248" t="s">
        <v>431</v>
      </c>
      <c r="EF63" s="248" t="s">
        <v>253</v>
      </c>
      <c r="EG63" s="268" t="s">
        <v>420</v>
      </c>
      <c r="EH63" s="248" t="s">
        <v>311</v>
      </c>
      <c r="EI63" s="248" t="s">
        <v>516</v>
      </c>
      <c r="EJ63" s="247" t="s">
        <v>381</v>
      </c>
      <c r="EK63" s="247"/>
      <c r="EL63" s="248" t="s">
        <v>431</v>
      </c>
      <c r="EM63" s="248" t="s">
        <v>253</v>
      </c>
      <c r="EN63" s="268" t="s">
        <v>420</v>
      </c>
      <c r="EO63" s="248" t="s">
        <v>311</v>
      </c>
      <c r="EP63" s="248" t="s">
        <v>516</v>
      </c>
      <c r="EQ63" s="247" t="s">
        <v>381</v>
      </c>
      <c r="ER63" s="247"/>
      <c r="ES63" s="248" t="s">
        <v>431</v>
      </c>
      <c r="ET63" s="248" t="s">
        <v>253</v>
      </c>
      <c r="EU63" s="268" t="s">
        <v>420</v>
      </c>
      <c r="EV63" s="248" t="s">
        <v>311</v>
      </c>
      <c r="EW63" s="248" t="s">
        <v>516</v>
      </c>
      <c r="EX63" s="247" t="s">
        <v>381</v>
      </c>
      <c r="EY63" s="247"/>
      <c r="EZ63" s="248" t="s">
        <v>431</v>
      </c>
      <c r="FA63" s="248" t="s">
        <v>253</v>
      </c>
      <c r="FB63" s="268" t="s">
        <v>420</v>
      </c>
      <c r="FC63" s="248" t="s">
        <v>311</v>
      </c>
      <c r="FD63" s="248" t="s">
        <v>516</v>
      </c>
      <c r="FE63" s="247" t="s">
        <v>381</v>
      </c>
      <c r="FF63" s="247"/>
      <c r="FG63" s="248" t="s">
        <v>431</v>
      </c>
      <c r="FH63" s="248" t="s">
        <v>253</v>
      </c>
      <c r="FI63" s="268" t="s">
        <v>420</v>
      </c>
      <c r="FJ63" s="248" t="s">
        <v>311</v>
      </c>
      <c r="FK63" s="248" t="s">
        <v>516</v>
      </c>
      <c r="FL63" s="247" t="s">
        <v>381</v>
      </c>
      <c r="FM63" s="247"/>
      <c r="FN63" s="248" t="s">
        <v>431</v>
      </c>
      <c r="FO63" s="248" t="s">
        <v>253</v>
      </c>
      <c r="FP63" s="268" t="s">
        <v>420</v>
      </c>
      <c r="FQ63" s="248" t="s">
        <v>311</v>
      </c>
      <c r="FR63" s="248" t="s">
        <v>516</v>
      </c>
      <c r="FS63" s="247" t="s">
        <v>381</v>
      </c>
      <c r="FT63" s="247"/>
      <c r="FU63" s="248" t="s">
        <v>431</v>
      </c>
      <c r="FV63" s="248" t="s">
        <v>253</v>
      </c>
      <c r="FW63" s="268" t="s">
        <v>420</v>
      </c>
      <c r="FX63" s="248" t="s">
        <v>311</v>
      </c>
      <c r="FY63" s="248" t="s">
        <v>516</v>
      </c>
      <c r="FZ63" s="247" t="s">
        <v>381</v>
      </c>
      <c r="GB63" s="248" t="s">
        <v>431</v>
      </c>
      <c r="GC63" s="248" t="s">
        <v>253</v>
      </c>
      <c r="GD63" s="268" t="s">
        <v>420</v>
      </c>
      <c r="GE63" s="248" t="s">
        <v>311</v>
      </c>
      <c r="GF63" s="248" t="s">
        <v>516</v>
      </c>
      <c r="GG63" s="247" t="s">
        <v>381</v>
      </c>
      <c r="GI63" s="248" t="s">
        <v>431</v>
      </c>
      <c r="GJ63" s="248" t="s">
        <v>253</v>
      </c>
      <c r="GK63" s="268" t="s">
        <v>420</v>
      </c>
      <c r="GL63" s="248" t="s">
        <v>311</v>
      </c>
      <c r="GM63" s="248" t="s">
        <v>516</v>
      </c>
      <c r="GN63" s="247" t="s">
        <v>381</v>
      </c>
      <c r="GP63" s="248" t="s">
        <v>431</v>
      </c>
      <c r="GQ63" s="248" t="s">
        <v>253</v>
      </c>
      <c r="GR63" s="268" t="s">
        <v>420</v>
      </c>
      <c r="GS63" s="248" t="s">
        <v>311</v>
      </c>
      <c r="GT63" s="248" t="s">
        <v>516</v>
      </c>
      <c r="GU63" s="247" t="s">
        <v>381</v>
      </c>
      <c r="GW63" s="248" t="s">
        <v>431</v>
      </c>
      <c r="GX63" s="248" t="s">
        <v>253</v>
      </c>
      <c r="GY63" s="268" t="s">
        <v>420</v>
      </c>
      <c r="GZ63" s="248" t="s">
        <v>311</v>
      </c>
      <c r="HA63" s="248" t="s">
        <v>516</v>
      </c>
      <c r="HB63" s="247" t="s">
        <v>381</v>
      </c>
    </row>
    <row r="64" spans="1:211" ht="12.75" customHeight="1">
      <c r="A64" t="s">
        <v>517</v>
      </c>
      <c r="B64" s="33">
        <f>B28/1000</f>
        <v>0</v>
      </c>
      <c r="C64" s="33">
        <f>C28/1000</f>
        <v>0</v>
      </c>
      <c r="D64" s="30"/>
      <c r="E64" s="30"/>
      <c r="F64" s="30"/>
      <c r="G64" s="33">
        <f t="shared" ref="G64:G71" si="72">SUM(B64:F64)</f>
        <v>0</v>
      </c>
      <c r="I64" s="33">
        <v>0</v>
      </c>
      <c r="J64" s="33">
        <v>0</v>
      </c>
      <c r="K64" s="30"/>
      <c r="L64" s="30"/>
      <c r="M64" s="30"/>
      <c r="N64" s="33">
        <f t="shared" ref="N64:N71" si="73">SUM(I64:M64)</f>
        <v>0</v>
      </c>
      <c r="P64" s="33">
        <v>0</v>
      </c>
      <c r="Q64" s="33">
        <v>0</v>
      </c>
      <c r="R64" s="30"/>
      <c r="S64" s="30"/>
      <c r="T64" s="30"/>
      <c r="U64" s="33">
        <f t="shared" ref="U64:U71" si="74">SUM(P64:T64)</f>
        <v>0</v>
      </c>
      <c r="W64" s="33">
        <f>W28/1000</f>
        <v>0</v>
      </c>
      <c r="X64" s="33">
        <f>X28/1000</f>
        <v>0</v>
      </c>
      <c r="Y64" s="30"/>
      <c r="Z64" s="30"/>
      <c r="AA64" s="30"/>
      <c r="AB64" s="33">
        <f t="shared" ref="AB64:AB74" si="75">SUM(W64:AA64)</f>
        <v>0</v>
      </c>
      <c r="AC64" s="33"/>
      <c r="AD64" s="33">
        <f>AD28/1000</f>
        <v>0</v>
      </c>
      <c r="AE64" s="33">
        <f>AE28/1000</f>
        <v>0</v>
      </c>
      <c r="AF64" s="30"/>
      <c r="AG64" s="30"/>
      <c r="AH64" s="30"/>
      <c r="AI64" s="33">
        <f t="shared" ref="AI64:AI71" si="76">SUM(AD64:AH64)</f>
        <v>0</v>
      </c>
      <c r="AJ64" s="33"/>
      <c r="AK64" s="33">
        <f>AK28/1000</f>
        <v>0</v>
      </c>
      <c r="AL64" s="33">
        <f>AL28/1000</f>
        <v>0</v>
      </c>
      <c r="AM64" s="30"/>
      <c r="AN64" s="30"/>
      <c r="AO64" s="30"/>
      <c r="AP64" s="33">
        <f t="shared" ref="AP64:AP71" si="77">SUM(AK64:AO64)</f>
        <v>0</v>
      </c>
      <c r="AQ64" s="33"/>
      <c r="AR64" s="33">
        <f>AR28/1000</f>
        <v>0</v>
      </c>
      <c r="AS64" s="33">
        <f>AS28/1000</f>
        <v>0</v>
      </c>
      <c r="AT64" s="30"/>
      <c r="AU64" s="30"/>
      <c r="AV64" s="30"/>
      <c r="AW64" s="33">
        <f t="shared" ref="AW64:AW71" si="78">SUM(AR64:AV64)</f>
        <v>0</v>
      </c>
      <c r="AX64" s="33"/>
      <c r="AY64" s="33">
        <f>AY28/1000</f>
        <v>0</v>
      </c>
      <c r="AZ64" s="33">
        <f>AZ28/1000</f>
        <v>0</v>
      </c>
      <c r="BA64" s="30"/>
      <c r="BB64" s="30"/>
      <c r="BC64" s="30"/>
      <c r="BD64" s="33">
        <f t="shared" ref="BD64:BD71" si="79">SUM(AY64:BC64)</f>
        <v>0</v>
      </c>
      <c r="BE64" s="33"/>
      <c r="BF64" s="33">
        <f>BF28/1000</f>
        <v>0</v>
      </c>
      <c r="BG64" s="33">
        <f>BG28/1000</f>
        <v>0</v>
      </c>
      <c r="BH64" s="30"/>
      <c r="BI64" s="30"/>
      <c r="BJ64" s="30"/>
      <c r="BK64" s="33">
        <f t="shared" ref="BK64:BK71" si="80">SUM(BF64:BJ64)</f>
        <v>0</v>
      </c>
      <c r="BL64" s="33"/>
      <c r="BM64" s="33">
        <f>BM28/1000</f>
        <v>0</v>
      </c>
      <c r="BN64" s="33">
        <f>BN28/1000</f>
        <v>0</v>
      </c>
      <c r="BO64" s="30"/>
      <c r="BP64" s="30"/>
      <c r="BQ64" s="30"/>
      <c r="BR64" s="33">
        <f t="shared" ref="BR64:BR71" si="81">SUM(BM64:BQ64)</f>
        <v>0</v>
      </c>
      <c r="BS64" s="33"/>
      <c r="BT64" s="33">
        <f>BT28/1000</f>
        <v>0</v>
      </c>
      <c r="BU64" s="33">
        <f>BU28/1000</f>
        <v>0</v>
      </c>
      <c r="BV64" s="30"/>
      <c r="BW64" s="30"/>
      <c r="BX64" s="30"/>
      <c r="BY64" s="33">
        <f t="shared" ref="BY64:BY71" si="82">SUM(BT64:BX64)</f>
        <v>0</v>
      </c>
      <c r="BZ64" s="33"/>
      <c r="CA64" s="33">
        <f>CA28/1000</f>
        <v>0</v>
      </c>
      <c r="CB64" s="33">
        <f>CB28/1000</f>
        <v>0</v>
      </c>
      <c r="CC64" s="30"/>
      <c r="CD64" s="30"/>
      <c r="CE64" s="30"/>
      <c r="CF64" s="33">
        <f t="shared" ref="CF64:CF71" si="83">SUM(CA64:CE64)</f>
        <v>0</v>
      </c>
      <c r="CG64" s="33"/>
      <c r="CH64" s="33">
        <f>CH28/1000</f>
        <v>0</v>
      </c>
      <c r="CI64" s="33">
        <f>CI28/1000</f>
        <v>0</v>
      </c>
      <c r="CJ64" s="30"/>
      <c r="CK64" s="30"/>
      <c r="CL64" s="30"/>
      <c r="CM64" s="33">
        <f t="shared" ref="CM64:CM74" si="84">SUM(CH64:CL64)</f>
        <v>0</v>
      </c>
      <c r="CN64" s="33"/>
      <c r="CO64" s="33">
        <f>CO28/1000</f>
        <v>0</v>
      </c>
      <c r="CP64" s="33">
        <f>CP28/1000</f>
        <v>0</v>
      </c>
      <c r="CQ64" s="30"/>
      <c r="CR64" s="30"/>
      <c r="CS64" s="30"/>
      <c r="CT64" s="33">
        <f t="shared" ref="CT64:CT74" si="85">SUM(CO64:CS64)</f>
        <v>0</v>
      </c>
      <c r="CU64" s="33"/>
      <c r="CV64" s="33">
        <f>CV28/1000</f>
        <v>0</v>
      </c>
      <c r="CW64" s="33">
        <f>CW28/1000</f>
        <v>0</v>
      </c>
      <c r="CX64" s="30"/>
      <c r="CY64" s="30"/>
      <c r="CZ64" s="30"/>
      <c r="DA64" s="33">
        <f t="shared" ref="DA64:DA74" si="86">SUM(CV64:CZ64)</f>
        <v>0</v>
      </c>
      <c r="DB64" s="33"/>
      <c r="DC64" s="33">
        <f>DC28/1000</f>
        <v>0</v>
      </c>
      <c r="DD64" s="33">
        <f>DD28/1000</f>
        <v>0</v>
      </c>
      <c r="DE64" s="30"/>
      <c r="DF64" s="30"/>
      <c r="DG64" s="30"/>
      <c r="DH64" s="33">
        <f t="shared" ref="DH64:DH74" si="87">SUM(DC64:DG64)</f>
        <v>0</v>
      </c>
      <c r="DI64" s="33"/>
      <c r="DJ64" s="33">
        <f>DJ28/1000</f>
        <v>0</v>
      </c>
      <c r="DK64" s="33">
        <f>DK28/1000</f>
        <v>0</v>
      </c>
      <c r="DL64" s="30"/>
      <c r="DM64" s="30"/>
      <c r="DN64" s="30"/>
      <c r="DO64" s="33">
        <f t="shared" ref="DO64:DO74" si="88">SUM(DJ64:DN64)</f>
        <v>0</v>
      </c>
      <c r="DP64" s="33"/>
      <c r="DQ64" s="33">
        <f>DQ28/1000</f>
        <v>0</v>
      </c>
      <c r="DR64" s="33">
        <f>DR28/1000</f>
        <v>0</v>
      </c>
      <c r="DS64" s="30"/>
      <c r="DT64" s="30"/>
      <c r="DU64" s="30"/>
      <c r="DV64" s="33">
        <f t="shared" ref="DV64:DV74" si="89">SUM(DQ64:DU64)</f>
        <v>0</v>
      </c>
      <c r="DW64" s="33"/>
      <c r="DX64" s="33">
        <f>DX28/1000</f>
        <v>0</v>
      </c>
      <c r="DY64" s="33">
        <f>DY28/1000</f>
        <v>0</v>
      </c>
      <c r="DZ64" s="30"/>
      <c r="EA64" s="30"/>
      <c r="EB64" s="30"/>
      <c r="EC64" s="33">
        <f t="shared" ref="EC64:EC74" si="90">SUM(DX64:EB64)</f>
        <v>0</v>
      </c>
      <c r="ED64" s="33"/>
      <c r="EE64" s="33">
        <f>EE28/1000</f>
        <v>0</v>
      </c>
      <c r="EF64" s="33">
        <f>EF28/1000</f>
        <v>0</v>
      </c>
      <c r="EG64" s="30"/>
      <c r="EH64" s="30"/>
      <c r="EI64" s="30"/>
      <c r="EJ64" s="33">
        <f t="shared" ref="EJ64:EJ74" si="91">SUM(EE64:EI64)</f>
        <v>0</v>
      </c>
      <c r="EK64" s="33"/>
      <c r="EL64" s="33">
        <f>EL28/1000</f>
        <v>0</v>
      </c>
      <c r="EM64" s="33">
        <f>EM28/1000</f>
        <v>0</v>
      </c>
      <c r="EN64" s="30"/>
      <c r="EO64" s="30"/>
      <c r="EP64" s="30"/>
      <c r="EQ64" s="33">
        <f t="shared" ref="EQ64:EQ74" si="92">SUM(EL64:EP64)</f>
        <v>0</v>
      </c>
      <c r="ER64" s="33"/>
      <c r="ES64" s="33">
        <f>ES28/1000</f>
        <v>0</v>
      </c>
      <c r="ET64" s="33">
        <f>ET28/1000</f>
        <v>0</v>
      </c>
      <c r="EU64" s="30"/>
      <c r="EV64" s="30"/>
      <c r="EW64" s="30"/>
      <c r="EX64" s="33">
        <f t="shared" ref="EX64:EX74" si="93">SUM(ES64:EW64)</f>
        <v>0</v>
      </c>
      <c r="EY64" s="33"/>
      <c r="EZ64" s="33">
        <f>EZ28/1000</f>
        <v>240</v>
      </c>
      <c r="FA64" s="33">
        <f>FA28/1000</f>
        <v>0</v>
      </c>
      <c r="FB64" s="30"/>
      <c r="FC64" s="30"/>
      <c r="FD64" s="30"/>
      <c r="FE64" s="33">
        <f t="shared" ref="FE64:FE74" si="94">SUM(EZ64:FD64)</f>
        <v>240</v>
      </c>
      <c r="FF64" s="33"/>
      <c r="FG64" s="33">
        <f>FG28/1000</f>
        <v>240</v>
      </c>
      <c r="FH64" s="33">
        <f>FH28/1000</f>
        <v>0</v>
      </c>
      <c r="FI64" s="30"/>
      <c r="FJ64" s="30"/>
      <c r="FK64" s="30"/>
      <c r="FL64" s="33">
        <f t="shared" ref="FL64:FL74" si="95">SUM(FG64:FK64)</f>
        <v>240</v>
      </c>
      <c r="FM64" s="33"/>
      <c r="FN64" s="33">
        <f>FN28/1000</f>
        <v>240</v>
      </c>
      <c r="FO64" s="33">
        <f>FO28/1000</f>
        <v>0</v>
      </c>
      <c r="FP64" s="30"/>
      <c r="FQ64" s="30"/>
      <c r="FR64" s="30"/>
      <c r="FS64" s="33">
        <f t="shared" ref="FS64:FS74" si="96">SUM(FN64:FR64)</f>
        <v>240</v>
      </c>
      <c r="FT64" s="33"/>
      <c r="FU64" s="33">
        <f>FU28/1000</f>
        <v>240</v>
      </c>
      <c r="FV64" s="33">
        <f>FV28/1000</f>
        <v>0</v>
      </c>
      <c r="FW64" s="30"/>
      <c r="FX64" s="30"/>
      <c r="FY64" s="30"/>
      <c r="FZ64" s="33">
        <f t="shared" ref="FZ64:FZ74" si="97">SUM(FU64:FY64)</f>
        <v>240</v>
      </c>
      <c r="GB64" s="33">
        <f>GB28/1000</f>
        <v>510</v>
      </c>
      <c r="GC64" s="33">
        <f>GC28/1000</f>
        <v>0</v>
      </c>
      <c r="GD64" s="30"/>
      <c r="GE64" s="30"/>
      <c r="GF64" s="30"/>
      <c r="GG64" s="33">
        <f t="shared" ref="GG64:GG74" si="98">SUM(GB64:GF64)</f>
        <v>510</v>
      </c>
      <c r="GI64" s="33">
        <f>GI28/1000</f>
        <v>270</v>
      </c>
      <c r="GJ64" s="33">
        <f>GJ28/1000</f>
        <v>0</v>
      </c>
      <c r="GK64" s="30"/>
      <c r="GL64" s="30"/>
      <c r="GM64" s="30"/>
      <c r="GN64" s="33">
        <f t="shared" ref="GN64:GN74" si="99">SUM(GI64:GM64)</f>
        <v>270</v>
      </c>
      <c r="GP64" s="33">
        <f>GP28/1000</f>
        <v>30</v>
      </c>
      <c r="GQ64" s="33">
        <f>GQ28/1000</f>
        <v>0</v>
      </c>
      <c r="GR64" s="30"/>
      <c r="GS64" s="30"/>
      <c r="GT64" s="30"/>
      <c r="GU64" s="33">
        <f t="shared" ref="GU64:GU74" si="100">SUM(GP64:GT64)</f>
        <v>30</v>
      </c>
      <c r="GW64" s="33">
        <f>GW28/1000</f>
        <v>15</v>
      </c>
      <c r="GX64" s="33">
        <f>GX28/1000</f>
        <v>0</v>
      </c>
      <c r="GY64" s="30"/>
      <c r="GZ64" s="30"/>
      <c r="HA64" s="30"/>
      <c r="HB64" s="33">
        <f t="shared" ref="HB64:HB74" si="101">SUM(GW64:HA64)</f>
        <v>15</v>
      </c>
    </row>
    <row r="65" spans="1:210" ht="12.75" customHeight="1">
      <c r="A65" t="s">
        <v>505</v>
      </c>
      <c r="B65" s="33">
        <f>B29/1000</f>
        <v>153</v>
      </c>
      <c r="C65" s="33">
        <f>C29/1000</f>
        <v>0</v>
      </c>
      <c r="F65" s="33">
        <f>F29/1000</f>
        <v>-153</v>
      </c>
      <c r="G65" s="33">
        <f t="shared" si="72"/>
        <v>0</v>
      </c>
      <c r="I65" s="33">
        <v>459</v>
      </c>
      <c r="J65" s="33">
        <v>0</v>
      </c>
      <c r="M65" s="33">
        <v>-459</v>
      </c>
      <c r="N65" s="33">
        <f t="shared" si="73"/>
        <v>0</v>
      </c>
      <c r="P65" s="33">
        <v>459</v>
      </c>
      <c r="Q65" s="33">
        <v>0</v>
      </c>
      <c r="T65" s="33">
        <v>-459</v>
      </c>
      <c r="U65" s="33">
        <f t="shared" si="74"/>
        <v>0</v>
      </c>
      <c r="W65" s="33">
        <f>W29/1000</f>
        <v>306</v>
      </c>
      <c r="X65" s="33">
        <f>X29/1000</f>
        <v>0</v>
      </c>
      <c r="AA65" s="33">
        <f>AA29/1000</f>
        <v>-306</v>
      </c>
      <c r="AB65" s="33">
        <f t="shared" si="75"/>
        <v>0</v>
      </c>
      <c r="AC65" s="33"/>
      <c r="AD65" s="33">
        <f>AD29/1000</f>
        <v>153</v>
      </c>
      <c r="AE65" s="33">
        <f>AE29/1000</f>
        <v>0</v>
      </c>
      <c r="AH65" s="33">
        <f>AH29/1000</f>
        <v>-153</v>
      </c>
      <c r="AI65" s="33">
        <f t="shared" si="76"/>
        <v>0</v>
      </c>
      <c r="AJ65" s="33"/>
      <c r="AK65" s="33">
        <f>AK29/1000</f>
        <v>612</v>
      </c>
      <c r="AL65" s="33">
        <f>AL29/1000</f>
        <v>0</v>
      </c>
      <c r="AO65" s="33">
        <f>AO29/1000</f>
        <v>-612</v>
      </c>
      <c r="AP65" s="33">
        <f t="shared" si="77"/>
        <v>0</v>
      </c>
      <c r="AQ65" s="33"/>
      <c r="AR65" s="33">
        <f>AR29/1000</f>
        <v>459</v>
      </c>
      <c r="AS65" s="33">
        <f>AS29/1000</f>
        <v>0</v>
      </c>
      <c r="AV65" s="33">
        <f>AV29/1000</f>
        <v>-459</v>
      </c>
      <c r="AW65" s="33">
        <f t="shared" si="78"/>
        <v>0</v>
      </c>
      <c r="AX65" s="33"/>
      <c r="AY65" s="33">
        <f>AY29/1000</f>
        <v>306</v>
      </c>
      <c r="AZ65" s="33">
        <f>AZ29/1000</f>
        <v>0</v>
      </c>
      <c r="BC65" s="33">
        <f>BC29/1000</f>
        <v>-306</v>
      </c>
      <c r="BD65" s="33">
        <f t="shared" si="79"/>
        <v>0</v>
      </c>
      <c r="BE65" s="33"/>
      <c r="BF65" s="33">
        <f>BF29/1000</f>
        <v>153</v>
      </c>
      <c r="BG65" s="33">
        <f>BG29/1000</f>
        <v>0</v>
      </c>
      <c r="BJ65" s="33">
        <f>BJ29/1000</f>
        <v>-153</v>
      </c>
      <c r="BK65" s="33">
        <f t="shared" si="80"/>
        <v>0</v>
      </c>
      <c r="BL65" s="33"/>
      <c r="BM65" s="33">
        <f>BM29/1000</f>
        <v>612</v>
      </c>
      <c r="BN65" s="33">
        <f>BN29/1000</f>
        <v>0</v>
      </c>
      <c r="BQ65" s="33">
        <f>BQ29/1000</f>
        <v>-612</v>
      </c>
      <c r="BR65" s="33">
        <f t="shared" si="81"/>
        <v>0</v>
      </c>
      <c r="BS65" s="33"/>
      <c r="BT65" s="33">
        <f>BT29/1000</f>
        <v>459</v>
      </c>
      <c r="BU65" s="33">
        <f>BU29/1000</f>
        <v>0</v>
      </c>
      <c r="BX65" s="33">
        <f>BX29/1000</f>
        <v>-459</v>
      </c>
      <c r="BY65" s="33">
        <f t="shared" si="82"/>
        <v>0</v>
      </c>
      <c r="BZ65" s="33"/>
      <c r="CA65" s="33">
        <f>CA29/1000</f>
        <v>306</v>
      </c>
      <c r="CB65" s="33">
        <f>CB29/1000</f>
        <v>0</v>
      </c>
      <c r="CE65" s="33">
        <f>CE29/1000</f>
        <v>-306</v>
      </c>
      <c r="CF65" s="33">
        <f t="shared" si="83"/>
        <v>0</v>
      </c>
      <c r="CG65" s="33"/>
      <c r="CH65" s="33">
        <f>CH29/1000</f>
        <v>153</v>
      </c>
      <c r="CI65" s="33">
        <f>CI29/1000</f>
        <v>0</v>
      </c>
      <c r="CL65" s="33">
        <f>CL29/1000</f>
        <v>-153</v>
      </c>
      <c r="CM65" s="33">
        <f t="shared" si="84"/>
        <v>0</v>
      </c>
      <c r="CN65" s="33"/>
      <c r="CO65" s="33">
        <f>CO29/1000</f>
        <v>0</v>
      </c>
      <c r="CP65" s="33">
        <f>CP29/1000</f>
        <v>0</v>
      </c>
      <c r="CS65" s="33">
        <f>CS29/1000</f>
        <v>0</v>
      </c>
      <c r="CT65" s="33">
        <f t="shared" si="85"/>
        <v>0</v>
      </c>
      <c r="CU65" s="33"/>
      <c r="CV65" s="33">
        <f>CV29/1000</f>
        <v>153</v>
      </c>
      <c r="CW65" s="33">
        <f>CW29/1000</f>
        <v>0</v>
      </c>
      <c r="CZ65" s="33">
        <f>CZ29/1000</f>
        <v>-153</v>
      </c>
      <c r="DA65" s="33">
        <f t="shared" si="86"/>
        <v>0</v>
      </c>
      <c r="DB65" s="33"/>
      <c r="DC65" s="33">
        <f>DC29/1000</f>
        <v>153</v>
      </c>
      <c r="DD65" s="33">
        <f>DD29/1000</f>
        <v>0</v>
      </c>
      <c r="DG65" s="33">
        <f>DG29/1000</f>
        <v>-153</v>
      </c>
      <c r="DH65" s="33">
        <f t="shared" si="87"/>
        <v>0</v>
      </c>
      <c r="DI65" s="33"/>
      <c r="DJ65" s="33">
        <f>DJ29/1000</f>
        <v>153</v>
      </c>
      <c r="DK65" s="33">
        <f>DK29/1000</f>
        <v>0</v>
      </c>
      <c r="DN65" s="33">
        <f>DN29/1000</f>
        <v>-612</v>
      </c>
      <c r="DO65" s="33">
        <f t="shared" si="88"/>
        <v>-459</v>
      </c>
      <c r="DP65" s="33"/>
      <c r="DQ65" s="33">
        <f>DQ29/1000</f>
        <v>153</v>
      </c>
      <c r="DR65" s="33">
        <f>DR29/1000</f>
        <v>0</v>
      </c>
      <c r="DU65" s="33">
        <f>DU29/1000</f>
        <v>-612</v>
      </c>
      <c r="DV65" s="33">
        <f t="shared" si="89"/>
        <v>-459</v>
      </c>
      <c r="DW65" s="33"/>
      <c r="DX65" s="33">
        <f>DX29/1000</f>
        <v>612</v>
      </c>
      <c r="DY65" s="33">
        <f>DY29/1000</f>
        <v>0</v>
      </c>
      <c r="EB65" s="33">
        <f>EB29/1000</f>
        <v>-612</v>
      </c>
      <c r="EC65" s="33">
        <f t="shared" si="90"/>
        <v>0</v>
      </c>
      <c r="ED65" s="33"/>
      <c r="EE65" s="33">
        <f>EE29/1000</f>
        <v>459</v>
      </c>
      <c r="EF65" s="33">
        <f>EF29/1000</f>
        <v>0</v>
      </c>
      <c r="EI65" s="33">
        <f>EI29/1000</f>
        <v>-459</v>
      </c>
      <c r="EJ65" s="33">
        <f t="shared" si="91"/>
        <v>0</v>
      </c>
      <c r="EK65" s="33"/>
      <c r="EL65" s="33">
        <f>EL29/1000</f>
        <v>306</v>
      </c>
      <c r="EM65" s="33">
        <f>EM29/1000</f>
        <v>0</v>
      </c>
      <c r="EP65" s="33">
        <f>EP29/1000</f>
        <v>-306</v>
      </c>
      <c r="EQ65" s="33">
        <f t="shared" si="92"/>
        <v>0</v>
      </c>
      <c r="ER65" s="33"/>
      <c r="ES65" s="33">
        <f>ES29/1000</f>
        <v>153</v>
      </c>
      <c r="ET65" s="33">
        <f>ET29/1000</f>
        <v>0</v>
      </c>
      <c r="EW65" s="33">
        <f>EW29/1000</f>
        <v>-153</v>
      </c>
      <c r="EX65" s="33">
        <f t="shared" si="93"/>
        <v>0</v>
      </c>
      <c r="EY65" s="33"/>
      <c r="EZ65" s="33">
        <f>EZ29/1000</f>
        <v>612</v>
      </c>
      <c r="FA65" s="33">
        <f>FA29/1000</f>
        <v>0</v>
      </c>
      <c r="FD65" s="33">
        <f>FD29/1000</f>
        <v>-612</v>
      </c>
      <c r="FE65" s="33">
        <f t="shared" si="94"/>
        <v>0</v>
      </c>
      <c r="FF65" s="33"/>
      <c r="FG65" s="33">
        <f>FG29/1000</f>
        <v>459</v>
      </c>
      <c r="FH65" s="33">
        <f>FH29/1000</f>
        <v>0</v>
      </c>
      <c r="FK65" s="33">
        <f>FK29/1000</f>
        <v>-459</v>
      </c>
      <c r="FL65" s="33">
        <f t="shared" si="95"/>
        <v>0</v>
      </c>
      <c r="FM65" s="33"/>
      <c r="FN65" s="33">
        <f>FN29/1000</f>
        <v>306</v>
      </c>
      <c r="FO65" s="33">
        <f>FO29/1000</f>
        <v>0</v>
      </c>
      <c r="FR65" s="33">
        <f>FR29/1000</f>
        <v>-306</v>
      </c>
      <c r="FS65" s="33">
        <f t="shared" si="96"/>
        <v>0</v>
      </c>
      <c r="FT65" s="33"/>
      <c r="FU65" s="33">
        <f>FU29/1000</f>
        <v>153</v>
      </c>
      <c r="FV65" s="33">
        <f>FV29/1000</f>
        <v>0</v>
      </c>
      <c r="FY65" s="33">
        <f>FY29/1000</f>
        <v>-153</v>
      </c>
      <c r="FZ65" s="33">
        <f t="shared" si="97"/>
        <v>0</v>
      </c>
      <c r="GB65" s="33">
        <f>GB29/1000</f>
        <v>612</v>
      </c>
      <c r="GC65" s="33">
        <f>GC29/1000</f>
        <v>0</v>
      </c>
      <c r="GF65" s="33">
        <f>GF29/1000</f>
        <v>-612</v>
      </c>
      <c r="GG65" s="33">
        <f t="shared" si="98"/>
        <v>0</v>
      </c>
      <c r="GI65" s="33">
        <f>GI29/1000</f>
        <v>459</v>
      </c>
      <c r="GJ65" s="33">
        <f>GJ29/1000</f>
        <v>0</v>
      </c>
      <c r="GM65" s="33">
        <f>GM29/1000</f>
        <v>-459</v>
      </c>
      <c r="GN65" s="33">
        <f t="shared" si="99"/>
        <v>0</v>
      </c>
      <c r="GP65" s="33">
        <f>GP29/1000</f>
        <v>306</v>
      </c>
      <c r="GQ65" s="33">
        <f>GQ29/1000</f>
        <v>0</v>
      </c>
      <c r="GT65">
        <v>-153</v>
      </c>
      <c r="GU65" s="33">
        <f t="shared" si="100"/>
        <v>153</v>
      </c>
      <c r="GW65" s="33">
        <f>GW29/1000</f>
        <v>153</v>
      </c>
      <c r="GX65" s="33">
        <f>GX29/1000</f>
        <v>0</v>
      </c>
      <c r="HA65">
        <v>-153</v>
      </c>
      <c r="HB65" s="33">
        <f t="shared" si="101"/>
        <v>0</v>
      </c>
    </row>
    <row r="66" spans="1:210" ht="12.75" customHeight="1">
      <c r="A66" t="s">
        <v>506</v>
      </c>
      <c r="B66" s="33">
        <f t="shared" ref="B66:C70" si="102">B31/1000</f>
        <v>22.530999999999999</v>
      </c>
      <c r="C66" s="33">
        <f t="shared" si="102"/>
        <v>0</v>
      </c>
      <c r="G66" s="33">
        <f t="shared" si="72"/>
        <v>22.530999999999999</v>
      </c>
      <c r="I66" s="33">
        <v>9.75</v>
      </c>
      <c r="J66" s="33">
        <v>16.5</v>
      </c>
      <c r="N66" s="33">
        <f t="shared" si="73"/>
        <v>26.25</v>
      </c>
      <c r="P66" s="33">
        <v>9.75</v>
      </c>
      <c r="Q66" s="33">
        <v>16.5</v>
      </c>
      <c r="U66" s="33">
        <f t="shared" si="74"/>
        <v>26.25</v>
      </c>
      <c r="W66" s="33">
        <f t="shared" ref="W66:X70" si="103">W31/1000</f>
        <v>9.75</v>
      </c>
      <c r="X66" s="33">
        <f t="shared" si="103"/>
        <v>16.5</v>
      </c>
      <c r="AB66" s="33">
        <f t="shared" si="75"/>
        <v>26.25</v>
      </c>
      <c r="AC66" s="33"/>
      <c r="AD66" s="33">
        <f t="shared" ref="AD66:AE70" si="104">AD31/1000</f>
        <v>9.5500000000000007</v>
      </c>
      <c r="AE66" s="33">
        <f t="shared" si="104"/>
        <v>16.5</v>
      </c>
      <c r="AI66" s="33">
        <f t="shared" si="76"/>
        <v>26.05</v>
      </c>
      <c r="AJ66" s="33"/>
      <c r="AK66" s="33">
        <f t="shared" ref="AK66:AL70" si="105">AK31/1000</f>
        <v>2.94</v>
      </c>
      <c r="AL66" s="33">
        <f t="shared" si="105"/>
        <v>0.72</v>
      </c>
      <c r="AP66" s="33">
        <f t="shared" si="77"/>
        <v>3.66</v>
      </c>
      <c r="AQ66" s="33"/>
      <c r="AR66" s="33">
        <f t="shared" ref="AR66:AS70" si="106">AR31/1000</f>
        <v>2.94</v>
      </c>
      <c r="AS66" s="33">
        <f t="shared" si="106"/>
        <v>0.72</v>
      </c>
      <c r="AW66" s="33">
        <f t="shared" si="78"/>
        <v>3.66</v>
      </c>
      <c r="AX66" s="33"/>
      <c r="AY66" s="33">
        <f t="shared" ref="AY66:AZ70" si="107">AY31/1000</f>
        <v>2.94</v>
      </c>
      <c r="AZ66" s="33">
        <f t="shared" si="107"/>
        <v>0.72</v>
      </c>
      <c r="BD66" s="33">
        <f t="shared" si="79"/>
        <v>3.66</v>
      </c>
      <c r="BE66" s="33"/>
      <c r="BF66" s="33">
        <f t="shared" ref="BF66:BG70" si="108">BF31/1000</f>
        <v>0</v>
      </c>
      <c r="BG66" s="33">
        <f t="shared" si="108"/>
        <v>0</v>
      </c>
      <c r="BK66" s="33">
        <f t="shared" si="80"/>
        <v>0</v>
      </c>
      <c r="BL66" s="33"/>
      <c r="BM66" s="33">
        <f t="shared" ref="BM66:BN70" si="109">BM31/1000</f>
        <v>73.55</v>
      </c>
      <c r="BN66" s="33">
        <f t="shared" si="109"/>
        <v>0</v>
      </c>
      <c r="BR66" s="33">
        <f t="shared" si="81"/>
        <v>73.55</v>
      </c>
      <c r="BS66" s="33"/>
      <c r="BT66" s="33">
        <f t="shared" ref="BT66:BU70" si="110">BT31/1000</f>
        <v>55.55</v>
      </c>
      <c r="BU66" s="33">
        <f t="shared" si="110"/>
        <v>0</v>
      </c>
      <c r="BY66" s="33">
        <f t="shared" si="82"/>
        <v>55.55</v>
      </c>
      <c r="BZ66" s="33"/>
      <c r="CA66" s="33">
        <f t="shared" ref="CA66:CB70" si="111">CA31/1000</f>
        <v>50.5</v>
      </c>
      <c r="CB66" s="33">
        <f t="shared" si="111"/>
        <v>0</v>
      </c>
      <c r="CF66" s="33">
        <f t="shared" si="83"/>
        <v>50.5</v>
      </c>
      <c r="CG66" s="33"/>
      <c r="CH66" s="33">
        <f t="shared" ref="CH66:CI70" si="112">CH31/1000</f>
        <v>50.5</v>
      </c>
      <c r="CI66" s="33">
        <f t="shared" si="112"/>
        <v>0</v>
      </c>
      <c r="CM66" s="33">
        <f t="shared" si="84"/>
        <v>50.5</v>
      </c>
      <c r="CN66" s="33"/>
      <c r="CO66" s="33">
        <f t="shared" ref="CO66:CP70" si="113">CO31/1000</f>
        <v>7.3483199999999993</v>
      </c>
      <c r="CP66" s="33">
        <f t="shared" si="113"/>
        <v>0</v>
      </c>
      <c r="CT66" s="33">
        <f t="shared" si="85"/>
        <v>7.3483199999999993</v>
      </c>
      <c r="CU66" s="33"/>
      <c r="CV66" s="33">
        <f t="shared" ref="CV66:CW70" si="114">CV31/1000</f>
        <v>56.476349999999996</v>
      </c>
      <c r="CW66" s="33">
        <f t="shared" si="114"/>
        <v>0</v>
      </c>
      <c r="DA66" s="33">
        <f t="shared" si="86"/>
        <v>56.476349999999996</v>
      </c>
      <c r="DB66" s="33"/>
      <c r="DC66" s="33">
        <f t="shared" ref="DC66:DD70" si="115">DC31/1000</f>
        <v>35.950000000000003</v>
      </c>
      <c r="DD66" s="33">
        <f t="shared" si="115"/>
        <v>0</v>
      </c>
      <c r="DH66" s="33">
        <f t="shared" si="87"/>
        <v>35.950000000000003</v>
      </c>
      <c r="DI66" s="33"/>
      <c r="DJ66" s="33">
        <f t="shared" ref="DJ66:DK70" si="116">DJ31/1000</f>
        <v>0</v>
      </c>
      <c r="DK66" s="33">
        <f t="shared" si="116"/>
        <v>0</v>
      </c>
      <c r="DO66" s="33">
        <f t="shared" si="88"/>
        <v>0</v>
      </c>
      <c r="DP66" s="33"/>
      <c r="DQ66" s="33">
        <f t="shared" ref="DQ66:DR70" si="117">DQ31/1000</f>
        <v>0</v>
      </c>
      <c r="DR66" s="33">
        <f t="shared" si="117"/>
        <v>0</v>
      </c>
      <c r="DV66" s="33">
        <f t="shared" si="89"/>
        <v>0</v>
      </c>
      <c r="DW66" s="33"/>
      <c r="DX66" s="33">
        <f t="shared" ref="DX66:DY70" si="118">DX31/1000</f>
        <v>39.392530000000001</v>
      </c>
      <c r="DY66" s="33">
        <f t="shared" si="118"/>
        <v>0</v>
      </c>
      <c r="EC66" s="33">
        <f t="shared" si="90"/>
        <v>39.392530000000001</v>
      </c>
      <c r="ED66" s="33"/>
      <c r="EE66" s="33">
        <f t="shared" ref="EE66:EF70" si="119">EE31/1000</f>
        <v>39.392530000000001</v>
      </c>
      <c r="EF66" s="33">
        <f t="shared" si="119"/>
        <v>0</v>
      </c>
      <c r="EJ66" s="33">
        <f t="shared" si="91"/>
        <v>39.392530000000001</v>
      </c>
      <c r="EK66" s="33"/>
      <c r="EL66" s="33">
        <f t="shared" ref="EL66:EM70" si="120">EL31/1000</f>
        <v>39.392530000000001</v>
      </c>
      <c r="EM66" s="33">
        <f t="shared" si="120"/>
        <v>0</v>
      </c>
      <c r="EQ66" s="33">
        <f t="shared" si="92"/>
        <v>39.392530000000001</v>
      </c>
      <c r="ER66" s="33"/>
      <c r="ES66" s="33">
        <f t="shared" ref="ES66:ET70" si="121">ES31/1000</f>
        <v>0</v>
      </c>
      <c r="ET66" s="33">
        <f t="shared" si="121"/>
        <v>0</v>
      </c>
      <c r="EX66" s="33">
        <f t="shared" si="93"/>
        <v>0</v>
      </c>
      <c r="EY66" s="33"/>
      <c r="EZ66" s="33">
        <f t="shared" ref="EZ66:FA70" si="122">EZ31/1000</f>
        <v>304.37220000000002</v>
      </c>
      <c r="FA66" s="33">
        <f t="shared" si="122"/>
        <v>44</v>
      </c>
      <c r="FE66" s="33">
        <f t="shared" si="94"/>
        <v>348.37220000000002</v>
      </c>
      <c r="FF66" s="33"/>
      <c r="FG66" s="33">
        <f t="shared" ref="FG66:FH70" si="123">FG31/1000</f>
        <v>168.37220000000002</v>
      </c>
      <c r="FH66" s="33">
        <f t="shared" si="123"/>
        <v>44</v>
      </c>
      <c r="FL66" s="33">
        <f t="shared" si="95"/>
        <v>212.37220000000002</v>
      </c>
      <c r="FM66" s="33"/>
      <c r="FN66" s="33">
        <f t="shared" ref="FN66:FO70" si="124">FN31/1000</f>
        <v>168.37220000000002</v>
      </c>
      <c r="FO66" s="33">
        <f t="shared" si="124"/>
        <v>44</v>
      </c>
      <c r="FS66" s="33">
        <f t="shared" si="96"/>
        <v>212.37220000000002</v>
      </c>
      <c r="FT66" s="33"/>
      <c r="FU66" s="33">
        <f t="shared" ref="FU66:FV70" si="125">FU31/1000</f>
        <v>118.37219999999999</v>
      </c>
      <c r="FV66" s="33">
        <f t="shared" si="125"/>
        <v>0</v>
      </c>
      <c r="FZ66" s="33">
        <f t="shared" si="97"/>
        <v>118.37219999999999</v>
      </c>
      <c r="GB66" s="33">
        <f t="shared" ref="GB66:GC70" si="126">GB31/1000</f>
        <v>24319.16617</v>
      </c>
      <c r="GC66" s="33">
        <f t="shared" si="126"/>
        <v>0</v>
      </c>
      <c r="GG66" s="33">
        <f t="shared" si="98"/>
        <v>24319.16617</v>
      </c>
      <c r="GI66" s="33">
        <f t="shared" ref="GI66:GJ70" si="127">GI31/1000</f>
        <v>24319.16617</v>
      </c>
      <c r="GJ66" s="33">
        <f t="shared" si="127"/>
        <v>0</v>
      </c>
      <c r="GN66" s="33">
        <f t="shared" si="99"/>
        <v>24319.16617</v>
      </c>
      <c r="GP66" s="33">
        <f t="shared" ref="GP66:GQ70" si="128">GP31/1000</f>
        <v>-22.110900000000001</v>
      </c>
      <c r="GQ66" s="33">
        <f t="shared" si="128"/>
        <v>0</v>
      </c>
      <c r="GU66" s="33">
        <f t="shared" si="100"/>
        <v>-22.110900000000001</v>
      </c>
      <c r="GW66" s="33">
        <f t="shared" ref="GW66:GX70" si="129">GW31/1000</f>
        <v>0</v>
      </c>
      <c r="GX66" s="33">
        <f t="shared" si="129"/>
        <v>0</v>
      </c>
      <c r="HB66" s="33">
        <f t="shared" si="101"/>
        <v>0</v>
      </c>
    </row>
    <row r="67" spans="1:210" ht="12.75" customHeight="1">
      <c r="A67" t="s">
        <v>507</v>
      </c>
      <c r="B67" s="33">
        <f t="shared" si="102"/>
        <v>0</v>
      </c>
      <c r="C67" s="33">
        <f t="shared" si="102"/>
        <v>0</v>
      </c>
      <c r="G67" s="33">
        <f t="shared" si="72"/>
        <v>0</v>
      </c>
      <c r="I67" s="33">
        <v>0</v>
      </c>
      <c r="J67" s="33">
        <v>0</v>
      </c>
      <c r="N67" s="33">
        <f t="shared" si="73"/>
        <v>0</v>
      </c>
      <c r="P67" s="33">
        <v>0</v>
      </c>
      <c r="Q67" s="33">
        <v>0</v>
      </c>
      <c r="U67" s="33">
        <f t="shared" si="74"/>
        <v>0</v>
      </c>
      <c r="W67" s="33">
        <f t="shared" si="103"/>
        <v>0</v>
      </c>
      <c r="X67" s="33">
        <f t="shared" si="103"/>
        <v>0</v>
      </c>
      <c r="AB67" s="33">
        <f t="shared" si="75"/>
        <v>0</v>
      </c>
      <c r="AC67" s="33"/>
      <c r="AD67" s="33">
        <f t="shared" si="104"/>
        <v>0</v>
      </c>
      <c r="AE67" s="33">
        <f t="shared" si="104"/>
        <v>0</v>
      </c>
      <c r="AI67" s="33">
        <f t="shared" si="76"/>
        <v>0</v>
      </c>
      <c r="AJ67" s="33"/>
      <c r="AK67" s="33">
        <f t="shared" si="105"/>
        <v>0</v>
      </c>
      <c r="AL67" s="33">
        <f t="shared" si="105"/>
        <v>0</v>
      </c>
      <c r="AP67" s="33">
        <f t="shared" si="77"/>
        <v>0</v>
      </c>
      <c r="AQ67" s="33"/>
      <c r="AR67" s="33">
        <f t="shared" si="106"/>
        <v>0</v>
      </c>
      <c r="AS67" s="33">
        <f t="shared" si="106"/>
        <v>0</v>
      </c>
      <c r="AW67" s="33">
        <f t="shared" si="78"/>
        <v>0</v>
      </c>
      <c r="AX67" s="33"/>
      <c r="AY67" s="33">
        <f t="shared" si="107"/>
        <v>0</v>
      </c>
      <c r="AZ67" s="33">
        <f t="shared" si="107"/>
        <v>0</v>
      </c>
      <c r="BD67" s="33">
        <f t="shared" si="79"/>
        <v>0</v>
      </c>
      <c r="BE67" s="33"/>
      <c r="BF67" s="33">
        <f t="shared" si="108"/>
        <v>0</v>
      </c>
      <c r="BG67" s="33">
        <f t="shared" si="108"/>
        <v>0</v>
      </c>
      <c r="BK67" s="33">
        <f t="shared" si="80"/>
        <v>0</v>
      </c>
      <c r="BL67" s="33"/>
      <c r="BM67" s="33">
        <f t="shared" si="109"/>
        <v>0</v>
      </c>
      <c r="BN67" s="33">
        <f t="shared" si="109"/>
        <v>0</v>
      </c>
      <c r="BR67" s="33">
        <f t="shared" si="81"/>
        <v>0</v>
      </c>
      <c r="BS67" s="33"/>
      <c r="BT67" s="33">
        <f t="shared" si="110"/>
        <v>0</v>
      </c>
      <c r="BU67" s="33">
        <f t="shared" si="110"/>
        <v>0</v>
      </c>
      <c r="BY67" s="33">
        <f t="shared" si="82"/>
        <v>0</v>
      </c>
      <c r="BZ67" s="33"/>
      <c r="CA67" s="33">
        <f t="shared" si="111"/>
        <v>0</v>
      </c>
      <c r="CB67" s="33">
        <f t="shared" si="111"/>
        <v>0</v>
      </c>
      <c r="CF67" s="33">
        <f t="shared" si="83"/>
        <v>0</v>
      </c>
      <c r="CG67" s="33"/>
      <c r="CH67" s="33">
        <f t="shared" si="112"/>
        <v>0</v>
      </c>
      <c r="CI67" s="33">
        <f t="shared" si="112"/>
        <v>0</v>
      </c>
      <c r="CM67" s="33">
        <f t="shared" si="84"/>
        <v>0</v>
      </c>
      <c r="CN67" s="33"/>
      <c r="CO67" s="33">
        <f t="shared" si="113"/>
        <v>0</v>
      </c>
      <c r="CP67" s="33">
        <f t="shared" si="113"/>
        <v>0</v>
      </c>
      <c r="CT67" s="33">
        <f t="shared" si="85"/>
        <v>0</v>
      </c>
      <c r="CU67" s="33"/>
      <c r="CV67" s="33">
        <f t="shared" si="114"/>
        <v>0</v>
      </c>
      <c r="CW67" s="33">
        <f t="shared" si="114"/>
        <v>0</v>
      </c>
      <c r="DA67" s="33">
        <f t="shared" si="86"/>
        <v>0</v>
      </c>
      <c r="DB67" s="33"/>
      <c r="DC67" s="33">
        <f t="shared" si="115"/>
        <v>0</v>
      </c>
      <c r="DD67" s="33">
        <f t="shared" si="115"/>
        <v>0</v>
      </c>
      <c r="DH67" s="33">
        <f t="shared" si="87"/>
        <v>0</v>
      </c>
      <c r="DI67" s="33"/>
      <c r="DJ67" s="33">
        <f t="shared" si="116"/>
        <v>0</v>
      </c>
      <c r="DK67" s="33">
        <f t="shared" si="116"/>
        <v>0</v>
      </c>
      <c r="DO67" s="33">
        <f t="shared" si="88"/>
        <v>0</v>
      </c>
      <c r="DP67" s="33"/>
      <c r="DQ67" s="33">
        <f t="shared" si="117"/>
        <v>0</v>
      </c>
      <c r="DR67" s="33">
        <f t="shared" si="117"/>
        <v>0</v>
      </c>
      <c r="DV67" s="33">
        <f t="shared" si="89"/>
        <v>0</v>
      </c>
      <c r="DW67" s="33"/>
      <c r="DX67" s="33">
        <f t="shared" si="118"/>
        <v>0</v>
      </c>
      <c r="DY67" s="33">
        <f t="shared" si="118"/>
        <v>0</v>
      </c>
      <c r="EC67" s="33">
        <f t="shared" si="90"/>
        <v>0</v>
      </c>
      <c r="ED67" s="33"/>
      <c r="EE67" s="33">
        <f t="shared" si="119"/>
        <v>0</v>
      </c>
      <c r="EF67" s="33">
        <f t="shared" si="119"/>
        <v>0</v>
      </c>
      <c r="EJ67" s="33">
        <f t="shared" si="91"/>
        <v>0</v>
      </c>
      <c r="EK67" s="33"/>
      <c r="EL67" s="33">
        <f t="shared" si="120"/>
        <v>0</v>
      </c>
      <c r="EM67" s="33">
        <f t="shared" si="120"/>
        <v>0</v>
      </c>
      <c r="EQ67" s="33">
        <f t="shared" si="92"/>
        <v>0</v>
      </c>
      <c r="ER67" s="33"/>
      <c r="ES67" s="33">
        <f t="shared" si="121"/>
        <v>0</v>
      </c>
      <c r="ET67" s="33">
        <f t="shared" si="121"/>
        <v>0</v>
      </c>
      <c r="EX67" s="33">
        <f t="shared" si="93"/>
        <v>0</v>
      </c>
      <c r="EY67" s="33"/>
      <c r="EZ67" s="33">
        <f t="shared" si="122"/>
        <v>0</v>
      </c>
      <c r="FA67" s="33">
        <f t="shared" si="122"/>
        <v>0</v>
      </c>
      <c r="FE67" s="33">
        <f t="shared" si="94"/>
        <v>0</v>
      </c>
      <c r="FF67" s="33"/>
      <c r="FG67" s="33">
        <f t="shared" si="123"/>
        <v>0</v>
      </c>
      <c r="FH67" s="33">
        <f t="shared" si="123"/>
        <v>0</v>
      </c>
      <c r="FL67" s="33">
        <f t="shared" si="95"/>
        <v>0</v>
      </c>
      <c r="FM67" s="33"/>
      <c r="FN67" s="33">
        <f t="shared" si="124"/>
        <v>0</v>
      </c>
      <c r="FO67" s="33">
        <f t="shared" si="124"/>
        <v>0</v>
      </c>
      <c r="FS67" s="33">
        <f t="shared" si="96"/>
        <v>0</v>
      </c>
      <c r="FT67" s="33"/>
      <c r="FU67" s="33">
        <f t="shared" si="125"/>
        <v>0</v>
      </c>
      <c r="FV67" s="33">
        <f t="shared" si="125"/>
        <v>0</v>
      </c>
      <c r="FZ67" s="33">
        <f t="shared" si="97"/>
        <v>0</v>
      </c>
      <c r="GB67" s="33">
        <f t="shared" si="126"/>
        <v>0</v>
      </c>
      <c r="GC67" s="33">
        <f t="shared" si="126"/>
        <v>0</v>
      </c>
      <c r="GG67" s="33">
        <f t="shared" si="98"/>
        <v>0</v>
      </c>
      <c r="GI67" s="33">
        <f t="shared" si="127"/>
        <v>0</v>
      </c>
      <c r="GJ67" s="33">
        <f t="shared" si="127"/>
        <v>0</v>
      </c>
      <c r="GN67" s="33">
        <f t="shared" si="99"/>
        <v>0</v>
      </c>
      <c r="GP67" s="33">
        <f t="shared" si="128"/>
        <v>0</v>
      </c>
      <c r="GQ67" s="33">
        <f t="shared" si="128"/>
        <v>0</v>
      </c>
      <c r="GU67" s="33">
        <f t="shared" si="100"/>
        <v>0</v>
      </c>
      <c r="GW67" s="33">
        <f t="shared" si="129"/>
        <v>0</v>
      </c>
      <c r="GX67" s="33">
        <f t="shared" si="129"/>
        <v>0</v>
      </c>
      <c r="HB67" s="33">
        <f t="shared" si="101"/>
        <v>0</v>
      </c>
    </row>
    <row r="68" spans="1:210" ht="12.75" customHeight="1">
      <c r="A68" s="273" t="s">
        <v>508</v>
      </c>
      <c r="B68" s="33">
        <f t="shared" si="102"/>
        <v>0</v>
      </c>
      <c r="C68" s="33">
        <f t="shared" si="102"/>
        <v>0</v>
      </c>
      <c r="D68" s="273"/>
      <c r="E68" s="273"/>
      <c r="F68" s="273"/>
      <c r="G68" s="33">
        <f t="shared" si="72"/>
        <v>0</v>
      </c>
      <c r="H68" s="273"/>
      <c r="I68" s="33">
        <v>0</v>
      </c>
      <c r="J68" s="33">
        <v>0</v>
      </c>
      <c r="K68" s="273"/>
      <c r="L68" s="273"/>
      <c r="M68" s="273"/>
      <c r="N68" s="33">
        <f t="shared" si="73"/>
        <v>0</v>
      </c>
      <c r="O68" s="273"/>
      <c r="P68" s="33">
        <v>0</v>
      </c>
      <c r="Q68" s="33">
        <v>0</v>
      </c>
      <c r="R68" s="273"/>
      <c r="S68" s="273"/>
      <c r="T68" s="273"/>
      <c r="U68" s="33">
        <f t="shared" si="74"/>
        <v>0</v>
      </c>
      <c r="V68" s="273"/>
      <c r="W68" s="33">
        <f t="shared" si="103"/>
        <v>0</v>
      </c>
      <c r="X68" s="33">
        <f t="shared" si="103"/>
        <v>0</v>
      </c>
      <c r="Y68" s="273"/>
      <c r="Z68" s="273"/>
      <c r="AA68" s="273"/>
      <c r="AB68" s="33">
        <f t="shared" si="75"/>
        <v>0</v>
      </c>
      <c r="AC68" s="33"/>
      <c r="AD68" s="33">
        <f t="shared" si="104"/>
        <v>0</v>
      </c>
      <c r="AE68" s="33">
        <f t="shared" si="104"/>
        <v>0</v>
      </c>
      <c r="AF68" s="273"/>
      <c r="AG68" s="273"/>
      <c r="AH68" s="273"/>
      <c r="AI68" s="33">
        <f t="shared" si="76"/>
        <v>0</v>
      </c>
      <c r="AJ68" s="33"/>
      <c r="AK68" s="33">
        <f t="shared" si="105"/>
        <v>0</v>
      </c>
      <c r="AL68" s="33">
        <f t="shared" si="105"/>
        <v>0</v>
      </c>
      <c r="AM68" s="273"/>
      <c r="AN68" s="273"/>
      <c r="AO68" s="273"/>
      <c r="AP68" s="33">
        <f t="shared" si="77"/>
        <v>0</v>
      </c>
      <c r="AQ68" s="33"/>
      <c r="AR68" s="33">
        <f t="shared" si="106"/>
        <v>0</v>
      </c>
      <c r="AS68" s="33">
        <f t="shared" si="106"/>
        <v>0</v>
      </c>
      <c r="AT68" s="273"/>
      <c r="AU68" s="273"/>
      <c r="AV68" s="273"/>
      <c r="AW68" s="33">
        <f t="shared" si="78"/>
        <v>0</v>
      </c>
      <c r="AX68" s="33"/>
      <c r="AY68" s="33">
        <f t="shared" si="107"/>
        <v>0</v>
      </c>
      <c r="AZ68" s="33">
        <f t="shared" si="107"/>
        <v>0</v>
      </c>
      <c r="BA68" s="273"/>
      <c r="BB68" s="273"/>
      <c r="BC68" s="273"/>
      <c r="BD68" s="33">
        <f t="shared" si="79"/>
        <v>0</v>
      </c>
      <c r="BE68" s="33"/>
      <c r="BF68" s="33">
        <f t="shared" si="108"/>
        <v>0</v>
      </c>
      <c r="BG68" s="33">
        <f t="shared" si="108"/>
        <v>0</v>
      </c>
      <c r="BH68" s="273"/>
      <c r="BI68" s="273"/>
      <c r="BJ68" s="273"/>
      <c r="BK68" s="33">
        <f t="shared" si="80"/>
        <v>0</v>
      </c>
      <c r="BL68" s="33"/>
      <c r="BM68" s="33">
        <f t="shared" si="109"/>
        <v>0</v>
      </c>
      <c r="BN68" s="33">
        <f t="shared" si="109"/>
        <v>0</v>
      </c>
      <c r="BO68" s="273"/>
      <c r="BP68" s="273"/>
      <c r="BQ68" s="273"/>
      <c r="BR68" s="33">
        <f t="shared" si="81"/>
        <v>0</v>
      </c>
      <c r="BS68" s="33"/>
      <c r="BT68" s="33">
        <f t="shared" si="110"/>
        <v>0</v>
      </c>
      <c r="BU68" s="33">
        <f t="shared" si="110"/>
        <v>0</v>
      </c>
      <c r="BV68" s="273"/>
      <c r="BW68" s="273"/>
      <c r="BX68" s="273"/>
      <c r="BY68" s="33">
        <f t="shared" si="82"/>
        <v>0</v>
      </c>
      <c r="BZ68" s="33"/>
      <c r="CA68" s="33">
        <f t="shared" si="111"/>
        <v>0</v>
      </c>
      <c r="CB68" s="33">
        <f t="shared" si="111"/>
        <v>0</v>
      </c>
      <c r="CC68" s="273"/>
      <c r="CD68" s="273"/>
      <c r="CE68" s="273"/>
      <c r="CF68" s="33">
        <f t="shared" si="83"/>
        <v>0</v>
      </c>
      <c r="CG68" s="33"/>
      <c r="CH68" s="33">
        <f t="shared" si="112"/>
        <v>0</v>
      </c>
      <c r="CI68" s="33">
        <f t="shared" si="112"/>
        <v>0</v>
      </c>
      <c r="CJ68" s="273"/>
      <c r="CK68" s="273"/>
      <c r="CL68" s="273"/>
      <c r="CM68" s="33">
        <f t="shared" si="84"/>
        <v>0</v>
      </c>
      <c r="CN68" s="33"/>
      <c r="CO68" s="33">
        <f t="shared" si="113"/>
        <v>0</v>
      </c>
      <c r="CP68" s="33">
        <f t="shared" si="113"/>
        <v>0</v>
      </c>
      <c r="CQ68" s="273"/>
      <c r="CR68" s="273"/>
      <c r="CS68" s="273"/>
      <c r="CT68" s="33">
        <f t="shared" si="85"/>
        <v>0</v>
      </c>
      <c r="CU68" s="33"/>
      <c r="CV68" s="33">
        <f t="shared" si="114"/>
        <v>0</v>
      </c>
      <c r="CW68" s="33">
        <f t="shared" si="114"/>
        <v>0</v>
      </c>
      <c r="CX68" s="273"/>
      <c r="CY68" s="273"/>
      <c r="CZ68" s="273"/>
      <c r="DA68" s="33">
        <f t="shared" si="86"/>
        <v>0</v>
      </c>
      <c r="DB68" s="33"/>
      <c r="DC68" s="33">
        <f t="shared" si="115"/>
        <v>0</v>
      </c>
      <c r="DD68" s="33">
        <f t="shared" si="115"/>
        <v>0</v>
      </c>
      <c r="DE68" s="273"/>
      <c r="DF68" s="273"/>
      <c r="DG68" s="273"/>
      <c r="DH68" s="33">
        <f t="shared" si="87"/>
        <v>0</v>
      </c>
      <c r="DI68" s="33"/>
      <c r="DJ68" s="33">
        <f t="shared" si="116"/>
        <v>0</v>
      </c>
      <c r="DK68" s="33">
        <f t="shared" si="116"/>
        <v>0</v>
      </c>
      <c r="DL68" s="273"/>
      <c r="DM68" s="273"/>
      <c r="DN68" s="273"/>
      <c r="DO68" s="33">
        <f t="shared" si="88"/>
        <v>0</v>
      </c>
      <c r="DP68" s="33"/>
      <c r="DQ68" s="33">
        <f t="shared" si="117"/>
        <v>0</v>
      </c>
      <c r="DR68" s="33">
        <f t="shared" si="117"/>
        <v>0</v>
      </c>
      <c r="DS68" s="273"/>
      <c r="DT68" s="273"/>
      <c r="DU68" s="273"/>
      <c r="DV68" s="33">
        <f t="shared" si="89"/>
        <v>0</v>
      </c>
      <c r="DW68" s="33"/>
      <c r="DX68" s="33">
        <f t="shared" si="118"/>
        <v>0</v>
      </c>
      <c r="DY68" s="33">
        <f t="shared" si="118"/>
        <v>0</v>
      </c>
      <c r="DZ68" s="273"/>
      <c r="EA68" s="273"/>
      <c r="EB68" s="273"/>
      <c r="EC68" s="33">
        <f t="shared" si="90"/>
        <v>0</v>
      </c>
      <c r="ED68" s="33"/>
      <c r="EE68" s="33">
        <f t="shared" si="119"/>
        <v>0</v>
      </c>
      <c r="EF68" s="33">
        <f t="shared" si="119"/>
        <v>0</v>
      </c>
      <c r="EG68" s="273"/>
      <c r="EH68" s="273"/>
      <c r="EI68" s="273"/>
      <c r="EJ68" s="33">
        <f t="shared" si="91"/>
        <v>0</v>
      </c>
      <c r="EK68" s="33"/>
      <c r="EL68" s="33">
        <f t="shared" si="120"/>
        <v>0</v>
      </c>
      <c r="EM68" s="33">
        <f t="shared" si="120"/>
        <v>0</v>
      </c>
      <c r="EN68" s="273"/>
      <c r="EO68" s="273"/>
      <c r="EP68" s="273"/>
      <c r="EQ68" s="33">
        <f t="shared" si="92"/>
        <v>0</v>
      </c>
      <c r="ER68" s="33"/>
      <c r="ES68" s="33">
        <f t="shared" si="121"/>
        <v>0</v>
      </c>
      <c r="ET68" s="33">
        <f t="shared" si="121"/>
        <v>0</v>
      </c>
      <c r="EU68" s="273"/>
      <c r="EV68" s="273"/>
      <c r="EW68" s="273"/>
      <c r="EX68" s="33">
        <f t="shared" si="93"/>
        <v>0</v>
      </c>
      <c r="EY68" s="33"/>
      <c r="EZ68" s="33">
        <f t="shared" si="122"/>
        <v>3.7391100000000002</v>
      </c>
      <c r="FA68" s="33">
        <f t="shared" si="122"/>
        <v>0</v>
      </c>
      <c r="FB68" s="273"/>
      <c r="FC68" s="273"/>
      <c r="FD68" s="273"/>
      <c r="FE68" s="33">
        <f t="shared" si="94"/>
        <v>3.7391100000000002</v>
      </c>
      <c r="FF68" s="33"/>
      <c r="FG68" s="33">
        <f t="shared" si="123"/>
        <v>0</v>
      </c>
      <c r="FH68" s="33">
        <f t="shared" si="123"/>
        <v>0</v>
      </c>
      <c r="FI68" s="273"/>
      <c r="FJ68" s="273"/>
      <c r="FK68" s="273"/>
      <c r="FL68" s="33">
        <f t="shared" si="95"/>
        <v>0</v>
      </c>
      <c r="FM68" s="33"/>
      <c r="FN68" s="33">
        <f t="shared" si="124"/>
        <v>0</v>
      </c>
      <c r="FO68" s="33">
        <f t="shared" si="124"/>
        <v>0</v>
      </c>
      <c r="FP68" s="273"/>
      <c r="FQ68" s="273"/>
      <c r="FR68" s="273"/>
      <c r="FS68" s="33">
        <f t="shared" si="96"/>
        <v>0</v>
      </c>
      <c r="FT68" s="33"/>
      <c r="FU68" s="33">
        <f t="shared" si="125"/>
        <v>0</v>
      </c>
      <c r="FV68" s="33">
        <f t="shared" si="125"/>
        <v>0</v>
      </c>
      <c r="FW68" s="273"/>
      <c r="FX68" s="273"/>
      <c r="FY68" s="273"/>
      <c r="FZ68" s="33">
        <f t="shared" si="97"/>
        <v>0</v>
      </c>
      <c r="GB68" s="33">
        <f t="shared" si="126"/>
        <v>0</v>
      </c>
      <c r="GC68" s="33">
        <f t="shared" si="126"/>
        <v>0</v>
      </c>
      <c r="GD68" s="273"/>
      <c r="GE68" s="273"/>
      <c r="GF68" s="273"/>
      <c r="GG68" s="33">
        <f t="shared" si="98"/>
        <v>0</v>
      </c>
      <c r="GI68" s="33">
        <f t="shared" si="127"/>
        <v>0</v>
      </c>
      <c r="GJ68" s="33">
        <f t="shared" si="127"/>
        <v>0</v>
      </c>
      <c r="GK68" s="273"/>
      <c r="GL68" s="273"/>
      <c r="GM68" s="273"/>
      <c r="GN68" s="33">
        <f t="shared" si="99"/>
        <v>0</v>
      </c>
      <c r="GP68" s="33">
        <f t="shared" si="128"/>
        <v>0</v>
      </c>
      <c r="GQ68" s="33">
        <f t="shared" si="128"/>
        <v>0</v>
      </c>
      <c r="GR68" s="273"/>
      <c r="GS68" s="273"/>
      <c r="GT68" s="273"/>
      <c r="GU68" s="33">
        <f t="shared" si="100"/>
        <v>0</v>
      </c>
      <c r="GW68" s="33">
        <f t="shared" si="129"/>
        <v>0</v>
      </c>
      <c r="GX68" s="33">
        <f t="shared" si="129"/>
        <v>0</v>
      </c>
      <c r="GY68" s="273"/>
      <c r="GZ68" s="273"/>
      <c r="HA68" s="273"/>
      <c r="HB68" s="33">
        <f t="shared" si="101"/>
        <v>0</v>
      </c>
    </row>
    <row r="69" spans="1:210" ht="12.75" customHeight="1">
      <c r="A69" t="s">
        <v>503</v>
      </c>
      <c r="B69" s="33">
        <f t="shared" si="102"/>
        <v>111.32847</v>
      </c>
      <c r="C69" s="33">
        <f t="shared" si="102"/>
        <v>127.14036</v>
      </c>
      <c r="G69" s="33">
        <f t="shared" si="72"/>
        <v>238.46883</v>
      </c>
      <c r="I69" s="33">
        <v>382.19051000000002</v>
      </c>
      <c r="J69" s="33">
        <v>314.29705999999999</v>
      </c>
      <c r="N69" s="33">
        <f t="shared" si="73"/>
        <v>696.48757000000001</v>
      </c>
      <c r="P69" s="33">
        <v>382.19051000000002</v>
      </c>
      <c r="Q69" s="33">
        <v>314.29705999999999</v>
      </c>
      <c r="U69" s="33">
        <f t="shared" si="74"/>
        <v>696.48757000000001</v>
      </c>
      <c r="W69" s="33">
        <f t="shared" si="103"/>
        <v>267.96055000000001</v>
      </c>
      <c r="X69" s="33">
        <f t="shared" si="103"/>
        <v>202.02969000000002</v>
      </c>
      <c r="AB69" s="33">
        <f t="shared" si="75"/>
        <v>469.99024000000003</v>
      </c>
      <c r="AC69" s="33"/>
      <c r="AD69" s="33">
        <f t="shared" si="104"/>
        <v>123.36520000000002</v>
      </c>
      <c r="AE69" s="33">
        <f t="shared" si="104"/>
        <v>91.706299999999999</v>
      </c>
      <c r="AI69" s="33">
        <f t="shared" si="76"/>
        <v>215.07150000000001</v>
      </c>
      <c r="AJ69" s="33"/>
      <c r="AK69" s="33">
        <f t="shared" si="105"/>
        <v>531.77778000000001</v>
      </c>
      <c r="AL69" s="33">
        <f t="shared" si="105"/>
        <v>282.34665999999999</v>
      </c>
      <c r="AP69" s="33">
        <f t="shared" si="77"/>
        <v>814.12444000000005</v>
      </c>
      <c r="AQ69" s="33"/>
      <c r="AR69" s="33">
        <f t="shared" si="106"/>
        <v>430.37729000000002</v>
      </c>
      <c r="AS69" s="33">
        <f t="shared" si="106"/>
        <v>204.10893999999999</v>
      </c>
      <c r="AW69" s="33">
        <f t="shared" si="78"/>
        <v>634.48622999999998</v>
      </c>
      <c r="AX69" s="33"/>
      <c r="AY69" s="33">
        <f t="shared" si="107"/>
        <v>339.89797999999996</v>
      </c>
      <c r="AZ69" s="33">
        <f t="shared" si="107"/>
        <v>122.43956</v>
      </c>
      <c r="BD69" s="33">
        <f t="shared" si="79"/>
        <v>462.33753999999999</v>
      </c>
      <c r="BE69" s="33"/>
      <c r="BF69" s="33">
        <f t="shared" si="108"/>
        <v>202.08808000000002</v>
      </c>
      <c r="BG69" s="33">
        <f t="shared" si="108"/>
        <v>48.113800000000005</v>
      </c>
      <c r="BK69" s="33">
        <f t="shared" si="80"/>
        <v>250.20188000000002</v>
      </c>
      <c r="BL69" s="33"/>
      <c r="BM69" s="33">
        <f t="shared" si="109"/>
        <v>914.44199000000003</v>
      </c>
      <c r="BN69" s="33">
        <f t="shared" si="109"/>
        <v>321.80196999999998</v>
      </c>
      <c r="BR69" s="33">
        <f t="shared" si="81"/>
        <v>1236.24396</v>
      </c>
      <c r="BS69" s="33"/>
      <c r="BT69" s="33">
        <f t="shared" si="110"/>
        <v>643.50927999999999</v>
      </c>
      <c r="BU69" s="33">
        <f t="shared" si="110"/>
        <v>270.96280000000002</v>
      </c>
      <c r="BY69" s="33">
        <f t="shared" si="82"/>
        <v>914.47208000000001</v>
      </c>
      <c r="BZ69" s="33"/>
      <c r="CA69" s="33">
        <f t="shared" si="111"/>
        <v>435.31728999999996</v>
      </c>
      <c r="CB69" s="33">
        <f t="shared" si="111"/>
        <v>182.15429</v>
      </c>
      <c r="CF69" s="33">
        <f t="shared" si="83"/>
        <v>617.4715799999999</v>
      </c>
      <c r="CG69" s="33"/>
      <c r="CH69" s="33">
        <f t="shared" si="112"/>
        <v>239.01369</v>
      </c>
      <c r="CI69" s="33">
        <f t="shared" si="112"/>
        <v>85.199010000000001</v>
      </c>
      <c r="CM69" s="33">
        <f t="shared" si="84"/>
        <v>324.21269999999998</v>
      </c>
      <c r="CN69" s="33"/>
      <c r="CO69" s="33">
        <f t="shared" si="113"/>
        <v>317.78730000000002</v>
      </c>
      <c r="CP69" s="33">
        <f t="shared" si="113"/>
        <v>91.583610000000007</v>
      </c>
      <c r="CT69" s="33">
        <f t="shared" si="85"/>
        <v>409.37091000000004</v>
      </c>
      <c r="CU69" s="33"/>
      <c r="CV69" s="33">
        <f t="shared" si="114"/>
        <v>699.21828000000005</v>
      </c>
      <c r="CW69" s="33">
        <f t="shared" si="114"/>
        <v>255.77581000000001</v>
      </c>
      <c r="DA69" s="33">
        <f t="shared" si="86"/>
        <v>954.99409000000003</v>
      </c>
      <c r="DB69" s="33"/>
      <c r="DC69" s="33">
        <f t="shared" si="115"/>
        <v>396.42442999999997</v>
      </c>
      <c r="DD69" s="33">
        <f t="shared" si="115"/>
        <v>166.19091</v>
      </c>
      <c r="DH69" s="33">
        <f t="shared" si="87"/>
        <v>562.61533999999995</v>
      </c>
      <c r="DI69" s="33"/>
      <c r="DJ69" s="33">
        <f t="shared" si="116"/>
        <v>204.17617999999999</v>
      </c>
      <c r="DK69" s="33">
        <f t="shared" si="116"/>
        <v>95.712609999999998</v>
      </c>
      <c r="DO69" s="33">
        <f t="shared" si="88"/>
        <v>299.88878999999997</v>
      </c>
      <c r="DP69" s="33"/>
      <c r="DQ69" s="33">
        <f t="shared" si="117"/>
        <v>78.077309999999997</v>
      </c>
      <c r="DR69" s="33">
        <f t="shared" si="117"/>
        <v>51.941980000000001</v>
      </c>
      <c r="DV69" s="33">
        <f t="shared" si="89"/>
        <v>130.01929000000001</v>
      </c>
      <c r="DW69" s="33"/>
      <c r="DX69" s="33">
        <f t="shared" si="118"/>
        <v>451.18054999999998</v>
      </c>
      <c r="DY69" s="33">
        <f t="shared" si="118"/>
        <v>299.59371999999996</v>
      </c>
      <c r="EC69" s="33">
        <f t="shared" si="90"/>
        <v>750.77426999999989</v>
      </c>
      <c r="ED69" s="33"/>
      <c r="EE69" s="33">
        <f t="shared" si="119"/>
        <v>344.71062999999998</v>
      </c>
      <c r="EF69" s="33">
        <f t="shared" si="119"/>
        <v>169.86813000000001</v>
      </c>
      <c r="EJ69" s="33">
        <f t="shared" si="91"/>
        <v>514.57875999999999</v>
      </c>
      <c r="EK69" s="33"/>
      <c r="EL69" s="33">
        <f t="shared" si="120"/>
        <v>256.36891000000003</v>
      </c>
      <c r="EM69" s="33">
        <f t="shared" si="120"/>
        <v>99.185469999999995</v>
      </c>
      <c r="EQ69" s="33">
        <f t="shared" si="92"/>
        <v>355.55438000000004</v>
      </c>
      <c r="ER69" s="33"/>
      <c r="ES69" s="33">
        <f t="shared" si="121"/>
        <v>166.84173000000001</v>
      </c>
      <c r="ET69" s="33">
        <f t="shared" si="121"/>
        <v>62.549349999999997</v>
      </c>
      <c r="EX69" s="33">
        <f t="shared" si="93"/>
        <v>229.39108000000002</v>
      </c>
      <c r="EY69" s="33"/>
      <c r="EZ69" s="33">
        <f t="shared" si="122"/>
        <v>1409.81242</v>
      </c>
      <c r="FA69" s="33">
        <f t="shared" si="122"/>
        <v>248.22628</v>
      </c>
      <c r="FE69" s="33">
        <f t="shared" si="94"/>
        <v>1658.0387000000001</v>
      </c>
      <c r="FF69" s="33"/>
      <c r="FG69" s="33">
        <f t="shared" si="123"/>
        <v>973.24439000000007</v>
      </c>
      <c r="FH69" s="33">
        <f t="shared" si="123"/>
        <v>164.77758</v>
      </c>
      <c r="FL69" s="33">
        <f t="shared" si="95"/>
        <v>1138.02197</v>
      </c>
      <c r="FM69" s="33"/>
      <c r="FN69" s="33">
        <f t="shared" si="124"/>
        <v>577.80796999999995</v>
      </c>
      <c r="FO69" s="33">
        <f t="shared" si="124"/>
        <v>89.376329999999996</v>
      </c>
      <c r="FS69" s="33">
        <f t="shared" si="96"/>
        <v>667.18429999999989</v>
      </c>
      <c r="FT69" s="33"/>
      <c r="FU69" s="33">
        <f t="shared" si="125"/>
        <v>178.49241000000001</v>
      </c>
      <c r="FV69" s="33">
        <f t="shared" si="125"/>
        <v>29.600770000000001</v>
      </c>
      <c r="FZ69" s="33">
        <f t="shared" si="97"/>
        <v>208.09318000000002</v>
      </c>
      <c r="GB69" s="33">
        <f t="shared" si="126"/>
        <v>1062.4788600000002</v>
      </c>
      <c r="GC69" s="33">
        <f t="shared" si="126"/>
        <v>200.83698000000001</v>
      </c>
      <c r="GG69" s="33">
        <f t="shared" si="98"/>
        <v>1263.3158400000002</v>
      </c>
      <c r="GI69" s="33">
        <f t="shared" si="127"/>
        <v>809.40657999999996</v>
      </c>
      <c r="GJ69" s="33">
        <f t="shared" si="127"/>
        <v>164.46319</v>
      </c>
      <c r="GN69" s="33">
        <f t="shared" si="99"/>
        <v>973.86977000000002</v>
      </c>
      <c r="GP69" s="33">
        <f t="shared" si="128"/>
        <v>504.50675999999999</v>
      </c>
      <c r="GQ69" s="33">
        <f t="shared" si="128"/>
        <v>123.00998</v>
      </c>
      <c r="GU69" s="33">
        <f t="shared" si="100"/>
        <v>627.51674000000003</v>
      </c>
      <c r="GW69" s="33">
        <f t="shared" si="129"/>
        <v>235.87861999999998</v>
      </c>
      <c r="GX69" s="33">
        <f t="shared" si="129"/>
        <v>50.268419999999999</v>
      </c>
      <c r="HB69" s="33">
        <f t="shared" si="101"/>
        <v>286.14704</v>
      </c>
    </row>
    <row r="70" spans="1:210" ht="12.75" customHeight="1">
      <c r="A70" t="s">
        <v>509</v>
      </c>
      <c r="B70" s="33">
        <f t="shared" si="102"/>
        <v>0</v>
      </c>
      <c r="C70" s="33">
        <f t="shared" si="102"/>
        <v>0</v>
      </c>
      <c r="G70" s="33">
        <f t="shared" si="72"/>
        <v>0</v>
      </c>
      <c r="I70" s="33">
        <v>2.0579899999999998</v>
      </c>
      <c r="J70" s="33">
        <v>0</v>
      </c>
      <c r="N70" s="33">
        <f t="shared" si="73"/>
        <v>2.0579899999999998</v>
      </c>
      <c r="P70" s="33">
        <v>2.0579899999999998</v>
      </c>
      <c r="Q70" s="33">
        <v>0</v>
      </c>
      <c r="U70" s="33">
        <f t="shared" si="74"/>
        <v>2.0579899999999998</v>
      </c>
      <c r="W70" s="33">
        <f t="shared" si="103"/>
        <v>2.0579899999999998</v>
      </c>
      <c r="X70" s="33">
        <f t="shared" si="103"/>
        <v>0</v>
      </c>
      <c r="AB70" s="33">
        <f t="shared" si="75"/>
        <v>2.0579899999999998</v>
      </c>
      <c r="AC70" s="33"/>
      <c r="AD70" s="33">
        <f t="shared" si="104"/>
        <v>1.49962</v>
      </c>
      <c r="AE70" s="33">
        <f t="shared" si="104"/>
        <v>0</v>
      </c>
      <c r="AI70" s="33">
        <f t="shared" si="76"/>
        <v>1.49962</v>
      </c>
      <c r="AJ70" s="33"/>
      <c r="AK70" s="33">
        <f t="shared" si="105"/>
        <v>58.288679999999999</v>
      </c>
      <c r="AL70" s="33">
        <f t="shared" si="105"/>
        <v>0</v>
      </c>
      <c r="AP70" s="33">
        <f t="shared" si="77"/>
        <v>58.288679999999999</v>
      </c>
      <c r="AQ70" s="33"/>
      <c r="AR70" s="33">
        <f t="shared" si="106"/>
        <v>50.715170000000001</v>
      </c>
      <c r="AS70" s="33">
        <f t="shared" si="106"/>
        <v>0</v>
      </c>
      <c r="AW70" s="33">
        <f t="shared" si="78"/>
        <v>50.715170000000001</v>
      </c>
      <c r="AX70" s="33"/>
      <c r="AY70" s="33">
        <f t="shared" si="107"/>
        <v>101.01214999999999</v>
      </c>
      <c r="AZ70" s="33">
        <f t="shared" si="107"/>
        <v>0</v>
      </c>
      <c r="BD70" s="33">
        <f t="shared" si="79"/>
        <v>101.01214999999999</v>
      </c>
      <c r="BE70" s="33"/>
      <c r="BF70" s="33">
        <f t="shared" si="108"/>
        <v>1.28657</v>
      </c>
      <c r="BG70" s="33">
        <f t="shared" si="108"/>
        <v>0</v>
      </c>
      <c r="BK70" s="33">
        <f t="shared" si="80"/>
        <v>1.28657</v>
      </c>
      <c r="BL70" s="33"/>
      <c r="BM70" s="33">
        <f t="shared" si="109"/>
        <v>35.20046</v>
      </c>
      <c r="BN70" s="33">
        <f t="shared" si="109"/>
        <v>0</v>
      </c>
      <c r="BR70" s="33">
        <f t="shared" si="81"/>
        <v>35.20046</v>
      </c>
      <c r="BS70" s="33"/>
      <c r="BT70" s="33">
        <f t="shared" si="110"/>
        <v>34.461910000000003</v>
      </c>
      <c r="BU70" s="33">
        <f t="shared" si="110"/>
        <v>0</v>
      </c>
      <c r="BY70" s="33">
        <f t="shared" si="82"/>
        <v>34.461910000000003</v>
      </c>
      <c r="BZ70" s="33"/>
      <c r="CA70" s="33">
        <f t="shared" si="111"/>
        <v>16.773349999999997</v>
      </c>
      <c r="CB70" s="33">
        <f t="shared" si="111"/>
        <v>0</v>
      </c>
      <c r="CF70" s="33">
        <f t="shared" si="83"/>
        <v>16.773349999999997</v>
      </c>
      <c r="CG70" s="33"/>
      <c r="CH70" s="33">
        <f t="shared" si="112"/>
        <v>6.0794700000000006</v>
      </c>
      <c r="CI70" s="33">
        <f t="shared" si="112"/>
        <v>0</v>
      </c>
      <c r="CM70" s="33">
        <f t="shared" si="84"/>
        <v>6.0794700000000006</v>
      </c>
      <c r="CN70" s="33"/>
      <c r="CO70" s="33">
        <f t="shared" si="113"/>
        <v>15.446009999999999</v>
      </c>
      <c r="CP70" s="33">
        <f t="shared" si="113"/>
        <v>0</v>
      </c>
      <c r="CT70" s="33">
        <f t="shared" si="85"/>
        <v>15.446009999999999</v>
      </c>
      <c r="CU70" s="33"/>
      <c r="CV70" s="33">
        <f t="shared" si="114"/>
        <v>49.209910000000001</v>
      </c>
      <c r="CW70" s="33">
        <f t="shared" si="114"/>
        <v>0</v>
      </c>
      <c r="DA70" s="33">
        <f t="shared" si="86"/>
        <v>49.209910000000001</v>
      </c>
      <c r="DB70" s="33"/>
      <c r="DC70" s="33">
        <f t="shared" si="115"/>
        <v>25.177580000000003</v>
      </c>
      <c r="DD70" s="33">
        <f t="shared" si="115"/>
        <v>0</v>
      </c>
      <c r="DH70" s="33">
        <f t="shared" si="87"/>
        <v>25.177580000000003</v>
      </c>
      <c r="DI70" s="33"/>
      <c r="DJ70" s="33">
        <f t="shared" si="116"/>
        <v>25.177580000000003</v>
      </c>
      <c r="DK70" s="33">
        <f t="shared" si="116"/>
        <v>0</v>
      </c>
      <c r="DO70" s="33">
        <f t="shared" si="88"/>
        <v>25.177580000000003</v>
      </c>
      <c r="DP70" s="33"/>
      <c r="DQ70" s="33">
        <f t="shared" si="117"/>
        <v>23.9099</v>
      </c>
      <c r="DR70" s="33">
        <f t="shared" si="117"/>
        <v>0</v>
      </c>
      <c r="DV70" s="33">
        <f t="shared" si="89"/>
        <v>23.9099</v>
      </c>
      <c r="DW70" s="33"/>
      <c r="DX70" s="33">
        <f t="shared" si="118"/>
        <v>23.542110000000001</v>
      </c>
      <c r="DY70" s="33">
        <f t="shared" si="118"/>
        <v>0</v>
      </c>
      <c r="EC70" s="33">
        <f t="shared" si="90"/>
        <v>23.542110000000001</v>
      </c>
      <c r="ED70" s="33"/>
      <c r="EE70" s="33">
        <f t="shared" si="119"/>
        <v>23.542110000000001</v>
      </c>
      <c r="EF70" s="33">
        <f t="shared" si="119"/>
        <v>0</v>
      </c>
      <c r="EJ70" s="33">
        <f t="shared" si="91"/>
        <v>23.542110000000001</v>
      </c>
      <c r="EK70" s="33"/>
      <c r="EL70" s="33">
        <f t="shared" si="120"/>
        <v>1.09724</v>
      </c>
      <c r="EM70" s="33">
        <f t="shared" si="120"/>
        <v>0</v>
      </c>
      <c r="EQ70" s="33">
        <f t="shared" si="92"/>
        <v>1.09724</v>
      </c>
      <c r="ER70" s="33"/>
      <c r="ES70" s="33">
        <f t="shared" si="121"/>
        <v>1.09724</v>
      </c>
      <c r="ET70" s="33">
        <f t="shared" si="121"/>
        <v>0</v>
      </c>
      <c r="EX70" s="33">
        <f t="shared" si="93"/>
        <v>1.09724</v>
      </c>
      <c r="EY70" s="33"/>
      <c r="EZ70" s="33">
        <f t="shared" si="122"/>
        <v>150.05224999999999</v>
      </c>
      <c r="FA70" s="33">
        <f t="shared" si="122"/>
        <v>0</v>
      </c>
      <c r="FE70" s="33">
        <f t="shared" si="94"/>
        <v>150.05224999999999</v>
      </c>
      <c r="FF70" s="33"/>
      <c r="FG70" s="33">
        <f t="shared" si="123"/>
        <v>140.17354999999998</v>
      </c>
      <c r="FH70" s="33">
        <f t="shared" si="123"/>
        <v>0</v>
      </c>
      <c r="FL70" s="33">
        <f t="shared" si="95"/>
        <v>140.17354999999998</v>
      </c>
      <c r="FM70" s="33"/>
      <c r="FN70" s="33">
        <f t="shared" si="124"/>
        <v>103.1011</v>
      </c>
      <c r="FO70" s="33">
        <f t="shared" si="124"/>
        <v>0</v>
      </c>
      <c r="FS70" s="33">
        <f t="shared" si="96"/>
        <v>103.1011</v>
      </c>
      <c r="FT70" s="33"/>
      <c r="FU70" s="33">
        <f t="shared" si="125"/>
        <v>45.33907</v>
      </c>
      <c r="FV70" s="33">
        <f t="shared" si="125"/>
        <v>0</v>
      </c>
      <c r="FZ70" s="33">
        <f t="shared" si="97"/>
        <v>45.33907</v>
      </c>
      <c r="GB70" s="33">
        <f t="shared" si="126"/>
        <v>186.85199</v>
      </c>
      <c r="GC70" s="33">
        <f t="shared" si="126"/>
        <v>0</v>
      </c>
      <c r="GG70" s="33">
        <f t="shared" si="98"/>
        <v>186.85199</v>
      </c>
      <c r="GI70" s="33">
        <f t="shared" si="127"/>
        <v>153.96161999999998</v>
      </c>
      <c r="GJ70" s="33">
        <f t="shared" si="127"/>
        <v>0</v>
      </c>
      <c r="GN70" s="33">
        <f t="shared" si="99"/>
        <v>153.96161999999998</v>
      </c>
      <c r="GP70" s="33">
        <f t="shared" si="128"/>
        <v>116.67635</v>
      </c>
      <c r="GQ70" s="33">
        <f t="shared" si="128"/>
        <v>0</v>
      </c>
      <c r="GU70" s="33">
        <f t="shared" si="100"/>
        <v>116.67635</v>
      </c>
      <c r="GW70" s="33">
        <f t="shared" si="129"/>
        <v>29.670099999999998</v>
      </c>
      <c r="GX70" s="33">
        <f t="shared" si="129"/>
        <v>0</v>
      </c>
      <c r="HB70" s="33">
        <f t="shared" si="101"/>
        <v>29.670099999999998</v>
      </c>
    </row>
    <row r="71" spans="1:210" ht="12.75" customHeight="1">
      <c r="A71" t="s">
        <v>510</v>
      </c>
      <c r="B71" s="33">
        <f t="shared" ref="B71:C74" si="130">B38/1000</f>
        <v>10.35</v>
      </c>
      <c r="C71" s="33">
        <f t="shared" si="130"/>
        <v>0</v>
      </c>
      <c r="G71" s="33">
        <f t="shared" si="72"/>
        <v>10.35</v>
      </c>
      <c r="I71" s="33">
        <v>31.932140000000004</v>
      </c>
      <c r="J71" s="33">
        <v>0</v>
      </c>
      <c r="N71" s="33">
        <f t="shared" si="73"/>
        <v>31.932140000000004</v>
      </c>
      <c r="P71" s="33">
        <v>31.932140000000004</v>
      </c>
      <c r="Q71" s="33">
        <v>0</v>
      </c>
      <c r="U71" s="33">
        <f t="shared" si="74"/>
        <v>31.932140000000004</v>
      </c>
      <c r="W71" s="33">
        <f>W38/1000</f>
        <v>31.93214</v>
      </c>
      <c r="X71" s="33">
        <f>X38/1000</f>
        <v>0</v>
      </c>
      <c r="AB71" s="33">
        <f t="shared" si="75"/>
        <v>31.93214</v>
      </c>
      <c r="AC71" s="33"/>
      <c r="AD71" s="33">
        <f t="shared" ref="AD71:AE74" si="131">AD38/1000</f>
        <v>4.5566400000000007</v>
      </c>
      <c r="AE71" s="33">
        <f t="shared" si="131"/>
        <v>0</v>
      </c>
      <c r="AI71" s="33">
        <f t="shared" si="76"/>
        <v>4.5566400000000007</v>
      </c>
      <c r="AJ71" s="33"/>
      <c r="AK71" s="33">
        <f t="shared" ref="AK71:AL74" si="132">AK38/1000</f>
        <v>262.75160999999997</v>
      </c>
      <c r="AL71" s="33">
        <f t="shared" si="132"/>
        <v>11.11623</v>
      </c>
      <c r="AP71" s="33">
        <f t="shared" si="77"/>
        <v>273.86783999999994</v>
      </c>
      <c r="AQ71" s="33"/>
      <c r="AR71" s="33">
        <f t="shared" ref="AR71:AS74" si="133">AR38/1000</f>
        <v>222.99458999999999</v>
      </c>
      <c r="AS71" s="33">
        <f t="shared" si="133"/>
        <v>11.11623</v>
      </c>
      <c r="AW71" s="33">
        <f t="shared" si="78"/>
        <v>234.11081999999999</v>
      </c>
      <c r="AX71" s="33"/>
      <c r="AY71" s="33">
        <f t="shared" ref="AY71:AZ74" si="134">AY38/1000</f>
        <v>56.202750000000002</v>
      </c>
      <c r="AZ71" s="33">
        <f t="shared" si="134"/>
        <v>11.11623</v>
      </c>
      <c r="BD71" s="33">
        <f t="shared" si="79"/>
        <v>67.318979999999996</v>
      </c>
      <c r="BE71" s="33"/>
      <c r="BF71" s="33">
        <f t="shared" ref="BF71:BG74" si="135">BF38/1000</f>
        <v>56.202750000000002</v>
      </c>
      <c r="BG71" s="33">
        <f t="shared" si="135"/>
        <v>11.11623</v>
      </c>
      <c r="BK71" s="33">
        <f t="shared" si="80"/>
        <v>67.318979999999996</v>
      </c>
      <c r="BL71" s="33"/>
      <c r="BM71" s="33">
        <f t="shared" ref="BM71:BN74" si="136">BM38/1000</f>
        <v>60.271000000000001</v>
      </c>
      <c r="BN71" s="33">
        <f t="shared" si="136"/>
        <v>22.43628</v>
      </c>
      <c r="BR71" s="33">
        <f t="shared" si="81"/>
        <v>82.707279999999997</v>
      </c>
      <c r="BS71" s="33"/>
      <c r="BT71" s="33">
        <f t="shared" ref="BT71:BU74" si="137">BT38/1000</f>
        <v>5.9024599999999996</v>
      </c>
      <c r="BU71" s="33">
        <f t="shared" si="137"/>
        <v>22.43628</v>
      </c>
      <c r="BY71" s="33">
        <f t="shared" si="82"/>
        <v>28.338740000000001</v>
      </c>
      <c r="BZ71" s="33"/>
      <c r="CA71" s="33">
        <f t="shared" ref="CA71:CB74" si="138">CA38/1000</f>
        <v>5.9024599999999996</v>
      </c>
      <c r="CB71" s="33">
        <f t="shared" si="138"/>
        <v>0</v>
      </c>
      <c r="CF71" s="33">
        <f t="shared" si="83"/>
        <v>5.9024599999999996</v>
      </c>
      <c r="CG71" s="33"/>
      <c r="CH71" s="33">
        <f t="shared" ref="CH71:CI74" si="139">CH38/1000</f>
        <v>0</v>
      </c>
      <c r="CI71" s="33">
        <f t="shared" si="139"/>
        <v>0</v>
      </c>
      <c r="CM71" s="33">
        <f t="shared" si="84"/>
        <v>0</v>
      </c>
      <c r="CN71" s="33"/>
      <c r="CO71" s="33">
        <f t="shared" ref="CO71:CP74" si="140">CO38/1000</f>
        <v>0</v>
      </c>
      <c r="CP71" s="33">
        <f t="shared" si="140"/>
        <v>0</v>
      </c>
      <c r="CT71" s="33">
        <f t="shared" si="85"/>
        <v>0</v>
      </c>
      <c r="CU71" s="33"/>
      <c r="CV71" s="33">
        <f>CV38/1000</f>
        <v>10.680999999999999</v>
      </c>
      <c r="CW71" s="33">
        <f>CW38/1000</f>
        <v>0</v>
      </c>
      <c r="DA71" s="33">
        <f t="shared" si="86"/>
        <v>10.680999999999999</v>
      </c>
      <c r="DB71" s="33"/>
      <c r="DC71" s="33">
        <f>DC38/1000</f>
        <v>10.680999999999999</v>
      </c>
      <c r="DD71" s="33">
        <f>DD38/1000</f>
        <v>0</v>
      </c>
      <c r="DH71" s="33">
        <f t="shared" si="87"/>
        <v>10.680999999999999</v>
      </c>
      <c r="DI71" s="33"/>
      <c r="DJ71" s="33">
        <f>DJ38/1000</f>
        <v>0</v>
      </c>
      <c r="DK71" s="33">
        <f>DK38/1000</f>
        <v>0</v>
      </c>
      <c r="DO71" s="33">
        <f t="shared" si="88"/>
        <v>0</v>
      </c>
      <c r="DP71" s="33"/>
      <c r="DQ71" s="33">
        <f>DQ38/1000</f>
        <v>0</v>
      </c>
      <c r="DR71" s="33">
        <f>DR38/1000</f>
        <v>0</v>
      </c>
      <c r="DV71" s="33">
        <f t="shared" si="89"/>
        <v>0</v>
      </c>
      <c r="DW71" s="33"/>
      <c r="DX71" s="33">
        <f>DX38/1000</f>
        <v>19.616720000000001</v>
      </c>
      <c r="DY71" s="33">
        <f>DY38/1000</f>
        <v>2.8590500000000003</v>
      </c>
      <c r="EC71" s="33">
        <f t="shared" si="90"/>
        <v>22.475770000000001</v>
      </c>
      <c r="ED71" s="33"/>
      <c r="EE71" s="33">
        <f>EE38/1000</f>
        <v>3.0829</v>
      </c>
      <c r="EF71" s="33">
        <f>EF38/1000</f>
        <v>0</v>
      </c>
      <c r="EJ71" s="33">
        <f t="shared" si="91"/>
        <v>3.0829</v>
      </c>
      <c r="EK71" s="33"/>
      <c r="EL71" s="33">
        <f>EL38/1000</f>
        <v>3.0184000000000002</v>
      </c>
      <c r="EM71" s="33">
        <f>EM38/1000</f>
        <v>0</v>
      </c>
      <c r="EQ71" s="33">
        <f t="shared" si="92"/>
        <v>3.0184000000000002</v>
      </c>
      <c r="ER71" s="33"/>
      <c r="ES71" s="33">
        <f>ES38/1000</f>
        <v>2.9184000000000001</v>
      </c>
      <c r="ET71" s="33">
        <f>ET38/1000</f>
        <v>0</v>
      </c>
      <c r="EX71" s="33">
        <f t="shared" si="93"/>
        <v>2.9184000000000001</v>
      </c>
      <c r="EY71" s="33"/>
      <c r="EZ71" s="33">
        <f>EZ38/1000</f>
        <v>0.32</v>
      </c>
      <c r="FA71" s="33">
        <f>FA38/1000</f>
        <v>0</v>
      </c>
      <c r="FE71" s="33">
        <f t="shared" si="94"/>
        <v>0.32</v>
      </c>
      <c r="FF71" s="33"/>
      <c r="FG71" s="33">
        <f>FG38/1000</f>
        <v>0</v>
      </c>
      <c r="FH71" s="33">
        <f>FH38/1000</f>
        <v>0</v>
      </c>
      <c r="FL71" s="33">
        <f t="shared" si="95"/>
        <v>0</v>
      </c>
      <c r="FM71" s="33"/>
      <c r="FN71" s="33">
        <f>FN38/1000</f>
        <v>0</v>
      </c>
      <c r="FO71" s="33">
        <f>FO38/1000</f>
        <v>0</v>
      </c>
      <c r="FS71" s="33">
        <f t="shared" si="96"/>
        <v>0</v>
      </c>
      <c r="FT71" s="33"/>
      <c r="FU71" s="33">
        <f>FU38/1000</f>
        <v>0</v>
      </c>
      <c r="FV71" s="33">
        <f>FV38/1000</f>
        <v>0</v>
      </c>
      <c r="FZ71" s="33">
        <f t="shared" si="97"/>
        <v>0</v>
      </c>
      <c r="GB71" s="33">
        <f>GB38/1000</f>
        <v>0</v>
      </c>
      <c r="GC71" s="33">
        <f>GC38/1000</f>
        <v>0</v>
      </c>
      <c r="GG71" s="33">
        <f t="shared" si="98"/>
        <v>0</v>
      </c>
      <c r="GI71" s="33">
        <f>GI38/1000</f>
        <v>0</v>
      </c>
      <c r="GJ71" s="33">
        <f>GJ38/1000</f>
        <v>0</v>
      </c>
      <c r="GN71" s="33">
        <f t="shared" si="99"/>
        <v>0</v>
      </c>
      <c r="GP71" s="33">
        <f>GP38/1000</f>
        <v>0</v>
      </c>
      <c r="GQ71" s="33">
        <f>GQ38/1000</f>
        <v>0</v>
      </c>
      <c r="GU71" s="33">
        <f t="shared" si="100"/>
        <v>0</v>
      </c>
      <c r="GW71" s="33">
        <f>GW38/1000</f>
        <v>0</v>
      </c>
      <c r="GX71" s="33">
        <f>GX38/1000</f>
        <v>0</v>
      </c>
      <c r="HB71" s="33">
        <f t="shared" si="101"/>
        <v>0</v>
      </c>
    </row>
    <row r="72" spans="1:210" ht="12.75" customHeight="1">
      <c r="A72" t="s">
        <v>602</v>
      </c>
      <c r="B72" s="33">
        <f t="shared" si="130"/>
        <v>0</v>
      </c>
      <c r="C72" s="33">
        <f t="shared" si="130"/>
        <v>0</v>
      </c>
      <c r="G72" s="33">
        <f>SUM(B72:F72)</f>
        <v>0</v>
      </c>
      <c r="I72" s="33">
        <v>0</v>
      </c>
      <c r="J72" s="33">
        <v>0</v>
      </c>
      <c r="N72" s="33">
        <f>SUM(I72:M72)</f>
        <v>0</v>
      </c>
      <c r="P72" s="33">
        <v>0</v>
      </c>
      <c r="Q72" s="33">
        <v>0</v>
      </c>
      <c r="U72" s="33">
        <f>SUM(P72:T72)</f>
        <v>0</v>
      </c>
      <c r="W72" s="33">
        <f t="shared" ref="W72:X74" si="141">W39/1000</f>
        <v>0</v>
      </c>
      <c r="X72" s="33">
        <f t="shared" si="141"/>
        <v>0</v>
      </c>
      <c r="AB72" s="33">
        <f>SUM(W72:AA72)</f>
        <v>0</v>
      </c>
      <c r="AC72" s="33"/>
      <c r="AD72" s="33">
        <f t="shared" si="131"/>
        <v>0</v>
      </c>
      <c r="AE72" s="33">
        <f t="shared" si="131"/>
        <v>0</v>
      </c>
      <c r="AI72" s="33">
        <f>SUM(AD72:AH72)</f>
        <v>0</v>
      </c>
      <c r="AJ72" s="33"/>
      <c r="AK72" s="33">
        <f t="shared" si="132"/>
        <v>0</v>
      </c>
      <c r="AL72" s="33">
        <f t="shared" si="132"/>
        <v>0</v>
      </c>
      <c r="AP72" s="33">
        <f>SUM(AK72:AO72)</f>
        <v>0</v>
      </c>
      <c r="AQ72" s="33"/>
      <c r="AR72" s="33">
        <f t="shared" si="133"/>
        <v>0</v>
      </c>
      <c r="AS72" s="33">
        <f t="shared" si="133"/>
        <v>0</v>
      </c>
      <c r="AW72" s="33">
        <f>SUM(AR72:AV72)</f>
        <v>0</v>
      </c>
      <c r="AX72" s="33"/>
      <c r="AY72" s="33">
        <f t="shared" si="134"/>
        <v>0</v>
      </c>
      <c r="AZ72" s="33">
        <f t="shared" si="134"/>
        <v>0</v>
      </c>
      <c r="BD72" s="33">
        <f>SUM(AY72:BC72)</f>
        <v>0</v>
      </c>
      <c r="BE72" s="33"/>
      <c r="BF72" s="33">
        <f t="shared" si="135"/>
        <v>0</v>
      </c>
      <c r="BG72" s="33">
        <f t="shared" si="135"/>
        <v>0</v>
      </c>
      <c r="BK72" s="33">
        <f>SUM(BF72:BJ72)</f>
        <v>0</v>
      </c>
      <c r="BL72" s="33"/>
      <c r="BM72" s="33">
        <f t="shared" si="136"/>
        <v>0</v>
      </c>
      <c r="BN72" s="33">
        <f t="shared" si="136"/>
        <v>0</v>
      </c>
      <c r="BR72" s="33">
        <f>SUM(BM72:BQ72)</f>
        <v>0</v>
      </c>
      <c r="BS72" s="33"/>
      <c r="BT72" s="33">
        <f t="shared" si="137"/>
        <v>0</v>
      </c>
      <c r="BU72" s="33">
        <f t="shared" si="137"/>
        <v>0</v>
      </c>
      <c r="BY72" s="33">
        <f>SUM(BT72:BX72)</f>
        <v>0</v>
      </c>
      <c r="BZ72" s="33"/>
      <c r="CA72" s="33">
        <f t="shared" si="138"/>
        <v>0</v>
      </c>
      <c r="CB72" s="33">
        <f t="shared" si="138"/>
        <v>0</v>
      </c>
      <c r="CF72" s="33">
        <f>SUM(CA72:CE72)</f>
        <v>0</v>
      </c>
      <c r="CG72" s="33"/>
      <c r="CH72" s="33">
        <f t="shared" si="139"/>
        <v>0</v>
      </c>
      <c r="CI72" s="33">
        <f t="shared" si="139"/>
        <v>0</v>
      </c>
      <c r="CM72" s="33">
        <f>SUM(CH72:CL72)</f>
        <v>0</v>
      </c>
      <c r="CN72" s="33"/>
      <c r="CO72" s="33">
        <f t="shared" si="140"/>
        <v>0</v>
      </c>
      <c r="CP72" s="33">
        <f t="shared" si="140"/>
        <v>0</v>
      </c>
      <c r="CT72" s="33">
        <f>SUM(CO72:CS72)</f>
        <v>0</v>
      </c>
      <c r="CU72" s="33"/>
      <c r="CV72" s="33">
        <f t="shared" ref="CV72:CW74" si="142">CV39/1000</f>
        <v>0</v>
      </c>
      <c r="CW72" s="33">
        <f t="shared" si="142"/>
        <v>0</v>
      </c>
      <c r="DA72" s="33">
        <f>SUM(CV72:CZ72)</f>
        <v>0</v>
      </c>
      <c r="DB72" s="33"/>
      <c r="DC72" s="33">
        <f t="shared" ref="DC72:DD74" si="143">DC39/1000</f>
        <v>0</v>
      </c>
      <c r="DD72" s="33">
        <f t="shared" si="143"/>
        <v>0</v>
      </c>
      <c r="DH72" s="33">
        <f>SUM(DC72:DG72)</f>
        <v>0</v>
      </c>
      <c r="DI72" s="33"/>
      <c r="DJ72" s="33">
        <f t="shared" ref="DJ72:DK74" si="144">DJ39/1000</f>
        <v>0</v>
      </c>
      <c r="DK72" s="33">
        <f t="shared" si="144"/>
        <v>0</v>
      </c>
      <c r="DO72" s="33">
        <f>SUM(DJ72:DN72)</f>
        <v>0</v>
      </c>
      <c r="DP72" s="33"/>
      <c r="DQ72" s="33">
        <f t="shared" ref="DQ72:DR74" si="145">DQ39/1000</f>
        <v>0</v>
      </c>
      <c r="DR72" s="33">
        <f t="shared" si="145"/>
        <v>0</v>
      </c>
      <c r="DV72" s="33">
        <f>SUM(DQ72:DU72)</f>
        <v>0</v>
      </c>
      <c r="DW72" s="33"/>
      <c r="DX72" s="33">
        <f t="shared" ref="DX72:DY74" si="146">DX39/1000</f>
        <v>0</v>
      </c>
      <c r="DY72" s="33">
        <f t="shared" si="146"/>
        <v>0</v>
      </c>
      <c r="EC72" s="33">
        <f>SUM(DX72:EB72)</f>
        <v>0</v>
      </c>
      <c r="ED72" s="33"/>
      <c r="EE72" s="33">
        <f t="shared" ref="EE72:EF74" si="147">EE39/1000</f>
        <v>0</v>
      </c>
      <c r="EF72" s="33">
        <f t="shared" si="147"/>
        <v>0</v>
      </c>
      <c r="EJ72" s="33">
        <f>SUM(EE72:EI72)</f>
        <v>0</v>
      </c>
      <c r="EK72" s="33"/>
      <c r="EL72" s="33">
        <f t="shared" ref="EL72:EM74" si="148">EL39/1000</f>
        <v>0</v>
      </c>
      <c r="EM72" s="33">
        <f t="shared" si="148"/>
        <v>0</v>
      </c>
      <c r="EQ72" s="33">
        <f>SUM(EL72:EP72)</f>
        <v>0</v>
      </c>
      <c r="ER72" s="33"/>
      <c r="ES72" s="33">
        <f t="shared" ref="ES72:ET74" si="149">ES39/1000</f>
        <v>0</v>
      </c>
      <c r="ET72" s="33">
        <f t="shared" si="149"/>
        <v>0</v>
      </c>
      <c r="EX72" s="33">
        <f>SUM(ES72:EW72)</f>
        <v>0</v>
      </c>
      <c r="EY72" s="33"/>
      <c r="EZ72" s="33">
        <f t="shared" ref="EZ72:FA74" si="150">EZ39/1000</f>
        <v>0</v>
      </c>
      <c r="FA72" s="33">
        <f t="shared" si="150"/>
        <v>0</v>
      </c>
      <c r="FE72" s="33">
        <f>SUM(EZ72:FD72)</f>
        <v>0</v>
      </c>
      <c r="FF72" s="33"/>
      <c r="FG72" s="33">
        <f t="shared" ref="FG72:FH74" si="151">FG39/1000</f>
        <v>0</v>
      </c>
      <c r="FH72" s="33">
        <f t="shared" si="151"/>
        <v>0</v>
      </c>
      <c r="FL72" s="33">
        <f>SUM(FG72:FK72)</f>
        <v>0</v>
      </c>
      <c r="FM72" s="33"/>
      <c r="FN72" s="33">
        <f t="shared" ref="FN72:FO74" si="152">FN39/1000</f>
        <v>0</v>
      </c>
      <c r="FO72" s="33">
        <f t="shared" si="152"/>
        <v>0</v>
      </c>
      <c r="FS72" s="33">
        <f>SUM(FN72:FR72)</f>
        <v>0</v>
      </c>
      <c r="FT72" s="33"/>
      <c r="FU72" s="33">
        <f t="shared" ref="FU72:FV74" si="153">FU39/1000</f>
        <v>0</v>
      </c>
      <c r="FV72" s="33">
        <f t="shared" si="153"/>
        <v>0</v>
      </c>
      <c r="FZ72" s="33">
        <f>SUM(FU72:FY72)</f>
        <v>0</v>
      </c>
      <c r="GB72" s="33">
        <f t="shared" ref="GB72:GC74" si="154">GB39/1000</f>
        <v>96.522249999999886</v>
      </c>
      <c r="GC72" s="33">
        <f t="shared" si="154"/>
        <v>0</v>
      </c>
      <c r="GG72" s="33">
        <f>SUM(GB72:GF72)</f>
        <v>96.522249999999886</v>
      </c>
      <c r="GI72" s="33">
        <f t="shared" ref="GI72:GJ74" si="155">GI39/1000</f>
        <v>0</v>
      </c>
      <c r="GJ72" s="33">
        <f t="shared" si="155"/>
        <v>0</v>
      </c>
      <c r="GN72" s="33">
        <f>SUM(GI72:GM72)</f>
        <v>0</v>
      </c>
      <c r="GP72" s="33">
        <f t="shared" ref="GP72:GQ74" si="156">GP39/1000</f>
        <v>0</v>
      </c>
      <c r="GQ72" s="33">
        <f t="shared" si="156"/>
        <v>0</v>
      </c>
      <c r="GU72" s="33">
        <f>SUM(GP72:GT72)</f>
        <v>0</v>
      </c>
      <c r="GW72" s="33">
        <f t="shared" ref="GW72:GX74" si="157">GW39/1000</f>
        <v>0</v>
      </c>
      <c r="GX72" s="33">
        <f t="shared" si="157"/>
        <v>0</v>
      </c>
      <c r="HB72" s="33">
        <f>SUM(GW72:HA72)</f>
        <v>0</v>
      </c>
    </row>
    <row r="73" spans="1:210" ht="12.75" customHeight="1">
      <c r="A73" t="s">
        <v>740</v>
      </c>
      <c r="B73" s="33">
        <f t="shared" si="130"/>
        <v>0</v>
      </c>
      <c r="C73" s="33">
        <f t="shared" si="130"/>
        <v>0</v>
      </c>
      <c r="G73" s="33">
        <f>SUM(B73:F73)</f>
        <v>0</v>
      </c>
      <c r="I73" s="33">
        <v>0</v>
      </c>
      <c r="J73" s="33">
        <v>0</v>
      </c>
      <c r="N73" s="33">
        <f>SUM(I73:M73)</f>
        <v>0</v>
      </c>
      <c r="P73" s="33">
        <v>0</v>
      </c>
      <c r="Q73" s="33">
        <v>0</v>
      </c>
      <c r="U73" s="33">
        <f>SUM(P73:T73)</f>
        <v>0</v>
      </c>
      <c r="W73" s="33">
        <f t="shared" si="141"/>
        <v>0</v>
      </c>
      <c r="X73" s="33">
        <f t="shared" si="141"/>
        <v>0</v>
      </c>
      <c r="AB73" s="33">
        <f>SUM(W73:AA73)</f>
        <v>0</v>
      </c>
      <c r="AC73" s="33"/>
      <c r="AD73" s="33">
        <f t="shared" si="131"/>
        <v>0</v>
      </c>
      <c r="AE73" s="33">
        <f t="shared" si="131"/>
        <v>0</v>
      </c>
      <c r="AI73" s="33">
        <f>SUM(AD73:AH73)</f>
        <v>0</v>
      </c>
      <c r="AJ73" s="33"/>
      <c r="AK73" s="33">
        <f t="shared" si="132"/>
        <v>0</v>
      </c>
      <c r="AL73" s="33">
        <f t="shared" si="132"/>
        <v>85.084999999999994</v>
      </c>
      <c r="AP73" s="33">
        <f>SUM(AK73:AO73)</f>
        <v>85.084999999999994</v>
      </c>
      <c r="AQ73" s="33"/>
      <c r="AR73" s="33">
        <f t="shared" si="133"/>
        <v>0</v>
      </c>
      <c r="AS73" s="33">
        <f t="shared" si="133"/>
        <v>0</v>
      </c>
      <c r="AW73" s="33">
        <f>SUM(AR73:AV73)</f>
        <v>0</v>
      </c>
      <c r="AX73" s="33"/>
      <c r="AY73" s="33">
        <f t="shared" si="134"/>
        <v>0</v>
      </c>
      <c r="AZ73" s="33">
        <f t="shared" si="134"/>
        <v>0</v>
      </c>
      <c r="BD73" s="33">
        <f>SUM(AY73:BC73)</f>
        <v>0</v>
      </c>
      <c r="BE73" s="33"/>
      <c r="BF73" s="33">
        <f t="shared" si="135"/>
        <v>0</v>
      </c>
      <c r="BG73" s="33">
        <f t="shared" si="135"/>
        <v>0</v>
      </c>
      <c r="BK73" s="33">
        <f>SUM(BF73:BJ73)</f>
        <v>0</v>
      </c>
      <c r="BL73" s="33"/>
      <c r="BM73" s="33">
        <f t="shared" si="136"/>
        <v>0</v>
      </c>
      <c r="BN73" s="33">
        <f t="shared" si="136"/>
        <v>290.87592000000001</v>
      </c>
      <c r="BR73" s="33">
        <f>SUM(BM73:BQ73)</f>
        <v>290.87592000000001</v>
      </c>
      <c r="BS73" s="33"/>
      <c r="BT73" s="33">
        <f t="shared" si="137"/>
        <v>0</v>
      </c>
      <c r="BU73" s="33">
        <f t="shared" si="137"/>
        <v>290.87592000000001</v>
      </c>
      <c r="BY73" s="33">
        <f>SUM(BT73:BX73)</f>
        <v>290.87592000000001</v>
      </c>
      <c r="BZ73" s="33"/>
      <c r="CA73" s="33">
        <f t="shared" si="138"/>
        <v>0</v>
      </c>
      <c r="CB73" s="33">
        <f t="shared" si="138"/>
        <v>290.87592000000001</v>
      </c>
      <c r="CF73" s="33">
        <f>SUM(CA73:CE73)</f>
        <v>290.87592000000001</v>
      </c>
      <c r="CG73" s="33"/>
      <c r="CH73" s="33">
        <f t="shared" si="139"/>
        <v>0</v>
      </c>
      <c r="CI73" s="33">
        <f t="shared" si="139"/>
        <v>290.87592000000001</v>
      </c>
      <c r="CM73" s="33">
        <f>SUM(CH73:CL73)</f>
        <v>290.87592000000001</v>
      </c>
      <c r="CN73" s="33"/>
      <c r="CO73" s="33">
        <f t="shared" si="140"/>
        <v>0</v>
      </c>
      <c r="CP73" s="33">
        <f t="shared" si="140"/>
        <v>0</v>
      </c>
      <c r="CT73" s="33">
        <f>SUM(CO73:CS73)</f>
        <v>0</v>
      </c>
      <c r="CU73" s="33"/>
      <c r="CV73" s="33">
        <f t="shared" si="142"/>
        <v>0</v>
      </c>
      <c r="CW73" s="33">
        <f t="shared" si="142"/>
        <v>0</v>
      </c>
      <c r="DA73" s="33">
        <f>SUM(CV73:CZ73)</f>
        <v>0</v>
      </c>
      <c r="DB73" s="33"/>
      <c r="DC73" s="33">
        <f t="shared" si="143"/>
        <v>0</v>
      </c>
      <c r="DD73" s="33">
        <f t="shared" si="143"/>
        <v>0</v>
      </c>
      <c r="DH73" s="33">
        <f>SUM(DC73:DG73)</f>
        <v>0</v>
      </c>
      <c r="DI73" s="33"/>
      <c r="DJ73" s="33">
        <f t="shared" si="144"/>
        <v>0</v>
      </c>
      <c r="DK73" s="33">
        <f t="shared" si="144"/>
        <v>0</v>
      </c>
      <c r="DO73" s="33">
        <f>SUM(DJ73:DN73)</f>
        <v>0</v>
      </c>
      <c r="DP73" s="33"/>
      <c r="DQ73" s="33">
        <f t="shared" si="145"/>
        <v>0</v>
      </c>
      <c r="DR73" s="33">
        <f t="shared" si="145"/>
        <v>0</v>
      </c>
      <c r="DV73" s="33">
        <f>SUM(DQ73:DU73)</f>
        <v>0</v>
      </c>
      <c r="DW73" s="33"/>
      <c r="DX73" s="33">
        <f t="shared" si="146"/>
        <v>0</v>
      </c>
      <c r="DY73" s="33">
        <f t="shared" si="146"/>
        <v>0</v>
      </c>
      <c r="EC73" s="33">
        <f>SUM(DX73:EB73)</f>
        <v>0</v>
      </c>
      <c r="ED73" s="33"/>
      <c r="EE73" s="33">
        <f t="shared" si="147"/>
        <v>0</v>
      </c>
      <c r="EF73" s="33">
        <f t="shared" si="147"/>
        <v>0</v>
      </c>
      <c r="EJ73" s="33">
        <f>SUM(EE73:EI73)</f>
        <v>0</v>
      </c>
      <c r="EK73" s="33"/>
      <c r="EL73" s="33">
        <f t="shared" si="148"/>
        <v>0</v>
      </c>
      <c r="EM73" s="33">
        <f t="shared" si="148"/>
        <v>0</v>
      </c>
      <c r="EQ73" s="33">
        <f>SUM(EL73:EP73)</f>
        <v>0</v>
      </c>
      <c r="ER73" s="33"/>
      <c r="ES73" s="33">
        <f t="shared" si="149"/>
        <v>0</v>
      </c>
      <c r="ET73" s="33">
        <f t="shared" si="149"/>
        <v>0</v>
      </c>
      <c r="EX73" s="33">
        <f>SUM(ES73:EW73)</f>
        <v>0</v>
      </c>
      <c r="EY73" s="33"/>
      <c r="EZ73" s="33">
        <f t="shared" si="150"/>
        <v>0</v>
      </c>
      <c r="FA73" s="33">
        <f t="shared" si="150"/>
        <v>0</v>
      </c>
      <c r="FE73" s="33">
        <f>SUM(EZ73:FD73)</f>
        <v>0</v>
      </c>
      <c r="FF73" s="33"/>
      <c r="FG73" s="33">
        <f t="shared" si="151"/>
        <v>0</v>
      </c>
      <c r="FH73" s="33">
        <f t="shared" si="151"/>
        <v>0</v>
      </c>
      <c r="FL73" s="33">
        <f>SUM(FG73:FK73)</f>
        <v>0</v>
      </c>
      <c r="FM73" s="33"/>
      <c r="FN73" s="33">
        <f t="shared" si="152"/>
        <v>0</v>
      </c>
      <c r="FO73" s="33">
        <f t="shared" si="152"/>
        <v>0</v>
      </c>
      <c r="FS73" s="33">
        <f>SUM(FN73:FR73)</f>
        <v>0</v>
      </c>
      <c r="FT73" s="33"/>
      <c r="FU73" s="33">
        <f t="shared" si="153"/>
        <v>0</v>
      </c>
      <c r="FV73" s="33">
        <f t="shared" si="153"/>
        <v>0</v>
      </c>
      <c r="FZ73" s="33">
        <f>SUM(FU73:FY73)</f>
        <v>0</v>
      </c>
      <c r="GB73" s="33">
        <f t="shared" si="154"/>
        <v>0</v>
      </c>
      <c r="GC73" s="33">
        <f t="shared" si="154"/>
        <v>0</v>
      </c>
      <c r="GG73" s="33">
        <f>SUM(GB73:GF73)</f>
        <v>0</v>
      </c>
      <c r="GI73" s="33">
        <f t="shared" si="155"/>
        <v>0</v>
      </c>
      <c r="GJ73" s="33">
        <f t="shared" si="155"/>
        <v>0</v>
      </c>
      <c r="GN73" s="33">
        <f>SUM(GI73:GM73)</f>
        <v>0</v>
      </c>
      <c r="GP73" s="33">
        <f t="shared" si="156"/>
        <v>0</v>
      </c>
      <c r="GQ73" s="33">
        <f t="shared" si="156"/>
        <v>0</v>
      </c>
      <c r="GU73" s="33">
        <f>SUM(GP73:GT73)</f>
        <v>0</v>
      </c>
      <c r="GW73" s="33">
        <f t="shared" si="157"/>
        <v>0</v>
      </c>
      <c r="GX73" s="33">
        <f t="shared" si="157"/>
        <v>0</v>
      </c>
      <c r="HB73" s="33">
        <f>SUM(GW73:HA73)</f>
        <v>0</v>
      </c>
    </row>
    <row r="74" spans="1:210" ht="12.75" customHeight="1">
      <c r="A74" s="273" t="s">
        <v>641</v>
      </c>
      <c r="B74" s="33">
        <f t="shared" si="130"/>
        <v>0</v>
      </c>
      <c r="C74" s="33">
        <f t="shared" si="130"/>
        <v>0</v>
      </c>
      <c r="G74" s="33">
        <f>SUM(B74:F74)</f>
        <v>0</v>
      </c>
      <c r="H74" s="273"/>
      <c r="I74" s="33">
        <v>8.7881599999999995</v>
      </c>
      <c r="J74" s="33">
        <v>14.96373</v>
      </c>
      <c r="N74" s="33">
        <f>SUM(I74:M74)</f>
        <v>23.75189</v>
      </c>
      <c r="O74" s="273"/>
      <c r="P74" s="33">
        <v>8.7881599999999995</v>
      </c>
      <c r="Q74" s="33">
        <v>14.96373</v>
      </c>
      <c r="U74" s="33">
        <f>SUM(P74:T74)</f>
        <v>23.75189</v>
      </c>
      <c r="V74" s="273"/>
      <c r="W74" s="33">
        <f t="shared" si="141"/>
        <v>3.1408</v>
      </c>
      <c r="X74" s="33">
        <f t="shared" si="141"/>
        <v>0</v>
      </c>
      <c r="AB74" s="33">
        <f t="shared" si="75"/>
        <v>3.1408</v>
      </c>
      <c r="AC74" s="33"/>
      <c r="AD74" s="33">
        <f t="shared" si="131"/>
        <v>3.1408</v>
      </c>
      <c r="AE74" s="33">
        <f t="shared" si="131"/>
        <v>0</v>
      </c>
      <c r="AI74" s="33">
        <f>SUM(AD74:AH74)</f>
        <v>3.1408</v>
      </c>
      <c r="AJ74" s="33"/>
      <c r="AK74" s="33">
        <f t="shared" si="132"/>
        <v>0</v>
      </c>
      <c r="AL74" s="33">
        <f t="shared" si="132"/>
        <v>0</v>
      </c>
      <c r="AP74" s="33">
        <f>SUM(AK74:AO74)</f>
        <v>0</v>
      </c>
      <c r="AQ74" s="33"/>
      <c r="AR74" s="33">
        <f t="shared" si="133"/>
        <v>0</v>
      </c>
      <c r="AS74" s="33">
        <f t="shared" si="133"/>
        <v>0</v>
      </c>
      <c r="AW74" s="33">
        <f>SUM(AR74:AV74)</f>
        <v>0</v>
      </c>
      <c r="AX74" s="33"/>
      <c r="AY74" s="33">
        <f t="shared" si="134"/>
        <v>0</v>
      </c>
      <c r="AZ74" s="33">
        <f t="shared" si="134"/>
        <v>0</v>
      </c>
      <c r="BD74" s="33">
        <f>SUM(AY74:BC74)</f>
        <v>0</v>
      </c>
      <c r="BE74" s="33"/>
      <c r="BF74" s="33">
        <f t="shared" si="135"/>
        <v>0</v>
      </c>
      <c r="BG74" s="33">
        <f t="shared" si="135"/>
        <v>0</v>
      </c>
      <c r="BK74" s="33">
        <f>SUM(BF74:BJ74)</f>
        <v>0</v>
      </c>
      <c r="BL74" s="33"/>
      <c r="BM74" s="33">
        <f t="shared" si="136"/>
        <v>9.6005599999999998</v>
      </c>
      <c r="BN74" s="33">
        <f t="shared" si="136"/>
        <v>19.28593</v>
      </c>
      <c r="BR74" s="33">
        <f>SUM(BM74:BQ74)</f>
        <v>28.886490000000002</v>
      </c>
      <c r="BS74" s="33"/>
      <c r="BT74" s="33">
        <f t="shared" si="137"/>
        <v>9.6005599999999998</v>
      </c>
      <c r="BU74" s="33">
        <f t="shared" si="137"/>
        <v>19.28593</v>
      </c>
      <c r="BY74" s="33">
        <f>SUM(BT74:BX74)</f>
        <v>28.886490000000002</v>
      </c>
      <c r="BZ74" s="33"/>
      <c r="CA74" s="33">
        <f t="shared" si="138"/>
        <v>0</v>
      </c>
      <c r="CB74" s="33">
        <f t="shared" si="138"/>
        <v>0</v>
      </c>
      <c r="CF74" s="33">
        <f>SUM(CA74:CE74)</f>
        <v>0</v>
      </c>
      <c r="CG74" s="33"/>
      <c r="CH74" s="33">
        <f t="shared" si="139"/>
        <v>0</v>
      </c>
      <c r="CI74" s="33">
        <f t="shared" si="139"/>
        <v>0</v>
      </c>
      <c r="CM74" s="33">
        <f t="shared" si="84"/>
        <v>0</v>
      </c>
      <c r="CN74" s="33"/>
      <c r="CO74" s="33">
        <f t="shared" si="140"/>
        <v>11.730889999999999</v>
      </c>
      <c r="CP74" s="33">
        <f t="shared" si="140"/>
        <v>20.857779999999998</v>
      </c>
      <c r="CT74" s="33">
        <f t="shared" si="85"/>
        <v>32.588669999999993</v>
      </c>
      <c r="CU74" s="33"/>
      <c r="CV74" s="33">
        <f t="shared" si="142"/>
        <v>0</v>
      </c>
      <c r="CW74" s="33">
        <f t="shared" si="142"/>
        <v>0</v>
      </c>
      <c r="DA74" s="33">
        <f t="shared" si="86"/>
        <v>0</v>
      </c>
      <c r="DB74" s="33"/>
      <c r="DC74" s="33">
        <f t="shared" si="143"/>
        <v>0</v>
      </c>
      <c r="DD74" s="33">
        <f t="shared" si="143"/>
        <v>0</v>
      </c>
      <c r="DH74" s="33">
        <f t="shared" si="87"/>
        <v>0</v>
      </c>
      <c r="DI74" s="33"/>
      <c r="DJ74" s="33">
        <f t="shared" si="144"/>
        <v>0</v>
      </c>
      <c r="DK74" s="33">
        <f t="shared" si="144"/>
        <v>0</v>
      </c>
      <c r="DO74" s="33">
        <f t="shared" si="88"/>
        <v>0</v>
      </c>
      <c r="DP74" s="33"/>
      <c r="DQ74" s="33">
        <f t="shared" si="145"/>
        <v>0</v>
      </c>
      <c r="DR74" s="33">
        <f t="shared" si="145"/>
        <v>0</v>
      </c>
      <c r="DV74" s="33">
        <f t="shared" si="89"/>
        <v>0</v>
      </c>
      <c r="DW74" s="33"/>
      <c r="DX74" s="33">
        <f t="shared" si="146"/>
        <v>0</v>
      </c>
      <c r="DY74" s="33">
        <f t="shared" si="146"/>
        <v>0</v>
      </c>
      <c r="EC74" s="33">
        <f t="shared" si="90"/>
        <v>0</v>
      </c>
      <c r="ED74" s="33"/>
      <c r="EE74" s="33">
        <f t="shared" si="147"/>
        <v>0</v>
      </c>
      <c r="EF74" s="33">
        <f t="shared" si="147"/>
        <v>0</v>
      </c>
      <c r="EJ74" s="33">
        <f t="shared" si="91"/>
        <v>0</v>
      </c>
      <c r="EK74" s="33"/>
      <c r="EL74" s="33">
        <f t="shared" si="148"/>
        <v>0</v>
      </c>
      <c r="EM74" s="33">
        <f t="shared" si="148"/>
        <v>0</v>
      </c>
      <c r="EQ74" s="33">
        <f t="shared" si="92"/>
        <v>0</v>
      </c>
      <c r="ER74" s="33"/>
      <c r="ES74" s="33">
        <f t="shared" si="149"/>
        <v>0</v>
      </c>
      <c r="ET74" s="33">
        <f t="shared" si="149"/>
        <v>0</v>
      </c>
      <c r="EX74" s="33">
        <f t="shared" si="93"/>
        <v>0</v>
      </c>
      <c r="EY74" s="33"/>
      <c r="EZ74" s="33">
        <f t="shared" si="150"/>
        <v>4.3575499999999998</v>
      </c>
      <c r="FA74" s="33">
        <f t="shared" si="150"/>
        <v>4.0450900000000001</v>
      </c>
      <c r="FE74" s="33">
        <f t="shared" si="94"/>
        <v>8.4026399999999999</v>
      </c>
      <c r="FF74" s="33"/>
      <c r="FG74" s="33">
        <f t="shared" si="151"/>
        <v>0</v>
      </c>
      <c r="FH74" s="33">
        <f t="shared" si="151"/>
        <v>0</v>
      </c>
      <c r="FL74" s="33">
        <f t="shared" si="95"/>
        <v>0</v>
      </c>
      <c r="FM74" s="33"/>
      <c r="FN74" s="33">
        <f t="shared" si="152"/>
        <v>0</v>
      </c>
      <c r="FO74" s="33">
        <f t="shared" si="152"/>
        <v>0</v>
      </c>
      <c r="FS74" s="33">
        <f t="shared" si="96"/>
        <v>0</v>
      </c>
      <c r="FT74" s="33"/>
      <c r="FU74" s="33">
        <f t="shared" si="153"/>
        <v>0</v>
      </c>
      <c r="FV74" s="33">
        <f t="shared" si="153"/>
        <v>0</v>
      </c>
      <c r="FZ74" s="33">
        <f t="shared" si="97"/>
        <v>0</v>
      </c>
      <c r="GB74" s="33">
        <f t="shared" si="154"/>
        <v>970.79638999999997</v>
      </c>
      <c r="GC74" s="33">
        <f t="shared" si="154"/>
        <v>0</v>
      </c>
      <c r="GG74" s="33">
        <f t="shared" si="98"/>
        <v>970.79638999999997</v>
      </c>
      <c r="GI74" s="33">
        <f t="shared" si="155"/>
        <v>970.79638999999997</v>
      </c>
      <c r="GJ74" s="33">
        <f t="shared" si="155"/>
        <v>0</v>
      </c>
      <c r="GN74" s="33">
        <f t="shared" si="99"/>
        <v>970.79638999999997</v>
      </c>
      <c r="GP74" s="33">
        <f t="shared" si="156"/>
        <v>970.79638999999997</v>
      </c>
      <c r="GQ74" s="33">
        <f t="shared" si="156"/>
        <v>0</v>
      </c>
      <c r="GU74" s="33">
        <f t="shared" si="100"/>
        <v>970.79638999999997</v>
      </c>
      <c r="GW74" s="33">
        <f t="shared" si="157"/>
        <v>0</v>
      </c>
      <c r="GX74" s="33">
        <f t="shared" si="157"/>
        <v>0</v>
      </c>
      <c r="HB74" s="33">
        <f t="shared" si="101"/>
        <v>0</v>
      </c>
    </row>
    <row r="75" spans="1:210" ht="12.75" customHeight="1">
      <c r="B75" s="242">
        <f t="shared" ref="B75:G75" si="158">SUM(B64:B74)</f>
        <v>297.20947000000001</v>
      </c>
      <c r="C75" s="242">
        <f t="shared" si="158"/>
        <v>127.14036</v>
      </c>
      <c r="D75" s="242">
        <f t="shared" si="158"/>
        <v>0</v>
      </c>
      <c r="E75" s="242">
        <f t="shared" si="158"/>
        <v>0</v>
      </c>
      <c r="F75" s="242">
        <f t="shared" si="158"/>
        <v>-153</v>
      </c>
      <c r="G75" s="242">
        <f t="shared" si="158"/>
        <v>271.34983</v>
      </c>
      <c r="I75" s="242">
        <v>893.71879999999999</v>
      </c>
      <c r="J75" s="242">
        <v>345.76078999999999</v>
      </c>
      <c r="K75" s="242">
        <v>0</v>
      </c>
      <c r="L75" s="242">
        <v>0</v>
      </c>
      <c r="M75" s="242">
        <v>-459</v>
      </c>
      <c r="N75" s="242">
        <f>SUM(N64:N74)</f>
        <v>780.47959000000003</v>
      </c>
      <c r="P75" s="242">
        <v>893.71879999999999</v>
      </c>
      <c r="Q75" s="242">
        <v>345.76078999999999</v>
      </c>
      <c r="R75" s="242">
        <v>0</v>
      </c>
      <c r="S75" s="242">
        <v>0</v>
      </c>
      <c r="T75" s="242">
        <v>-459</v>
      </c>
      <c r="U75" s="242">
        <f>SUM(U64:U74)</f>
        <v>780.47959000000003</v>
      </c>
      <c r="W75" s="242">
        <f t="shared" ref="W75:AB75" si="159">SUM(W64:W74)</f>
        <v>620.84148000000005</v>
      </c>
      <c r="X75" s="242">
        <f t="shared" si="159"/>
        <v>218.52969000000002</v>
      </c>
      <c r="Y75" s="242">
        <f t="shared" si="159"/>
        <v>0</v>
      </c>
      <c r="Z75" s="242">
        <f t="shared" si="159"/>
        <v>0</v>
      </c>
      <c r="AA75" s="242">
        <f t="shared" si="159"/>
        <v>-306</v>
      </c>
      <c r="AB75" s="242">
        <f t="shared" si="159"/>
        <v>533.37117000000001</v>
      </c>
      <c r="AC75" s="241"/>
      <c r="AD75" s="242">
        <f t="shared" ref="AD75:AI75" si="160">SUM(AD64:AD74)</f>
        <v>295.11226000000005</v>
      </c>
      <c r="AE75" s="242">
        <f t="shared" si="160"/>
        <v>108.2063</v>
      </c>
      <c r="AF75" s="242">
        <f t="shared" si="160"/>
        <v>0</v>
      </c>
      <c r="AG75" s="242">
        <f t="shared" si="160"/>
        <v>0</v>
      </c>
      <c r="AH75" s="242">
        <f t="shared" si="160"/>
        <v>-153</v>
      </c>
      <c r="AI75" s="242">
        <f t="shared" si="160"/>
        <v>250.31856000000002</v>
      </c>
      <c r="AJ75" s="241"/>
      <c r="AK75" s="242">
        <f t="shared" ref="AK75:AP75" si="161">SUM(AK64:AK74)</f>
        <v>1467.7580700000001</v>
      </c>
      <c r="AL75" s="242">
        <f t="shared" si="161"/>
        <v>379.26788999999997</v>
      </c>
      <c r="AM75" s="242">
        <f t="shared" si="161"/>
        <v>0</v>
      </c>
      <c r="AN75" s="242">
        <f t="shared" si="161"/>
        <v>0</v>
      </c>
      <c r="AO75" s="242">
        <f t="shared" si="161"/>
        <v>-612</v>
      </c>
      <c r="AP75" s="242">
        <f t="shared" si="161"/>
        <v>1235.0259599999999</v>
      </c>
      <c r="AQ75" s="241"/>
      <c r="AR75" s="242">
        <f t="shared" ref="AR75:AW75" si="162">SUM(AR64:AR74)</f>
        <v>1166.0270499999999</v>
      </c>
      <c r="AS75" s="242">
        <f t="shared" si="162"/>
        <v>215.94516999999999</v>
      </c>
      <c r="AT75" s="242">
        <f t="shared" si="162"/>
        <v>0</v>
      </c>
      <c r="AU75" s="242">
        <f t="shared" si="162"/>
        <v>0</v>
      </c>
      <c r="AV75" s="242">
        <f t="shared" si="162"/>
        <v>-459</v>
      </c>
      <c r="AW75" s="242">
        <f t="shared" si="162"/>
        <v>922.97221999999999</v>
      </c>
      <c r="AX75" s="241"/>
      <c r="AY75" s="242">
        <f t="shared" ref="AY75:BD75" si="163">SUM(AY64:AY74)</f>
        <v>806.05288000000007</v>
      </c>
      <c r="AZ75" s="242">
        <f t="shared" si="163"/>
        <v>134.27579</v>
      </c>
      <c r="BA75" s="242">
        <f t="shared" si="163"/>
        <v>0</v>
      </c>
      <c r="BB75" s="242">
        <f t="shared" si="163"/>
        <v>0</v>
      </c>
      <c r="BC75" s="242">
        <f t="shared" si="163"/>
        <v>-306</v>
      </c>
      <c r="BD75" s="242">
        <f t="shared" si="163"/>
        <v>634.32866999999999</v>
      </c>
      <c r="BE75" s="241"/>
      <c r="BF75" s="242">
        <f t="shared" ref="BF75:BK75" si="164">SUM(BF64:BF74)</f>
        <v>412.57739999999995</v>
      </c>
      <c r="BG75" s="242">
        <f t="shared" si="164"/>
        <v>59.230030000000006</v>
      </c>
      <c r="BH75" s="242">
        <f t="shared" si="164"/>
        <v>0</v>
      </c>
      <c r="BI75" s="242">
        <f t="shared" si="164"/>
        <v>0</v>
      </c>
      <c r="BJ75" s="242">
        <f t="shared" si="164"/>
        <v>-153</v>
      </c>
      <c r="BK75" s="242">
        <f t="shared" si="164"/>
        <v>318.80743000000001</v>
      </c>
      <c r="BL75" s="241"/>
      <c r="BM75" s="242">
        <f t="shared" ref="BM75:BR75" si="165">SUM(BM64:BM74)</f>
        <v>1705.0640100000001</v>
      </c>
      <c r="BN75" s="242">
        <f t="shared" si="165"/>
        <v>654.40010000000007</v>
      </c>
      <c r="BO75" s="242">
        <f t="shared" si="165"/>
        <v>0</v>
      </c>
      <c r="BP75" s="242">
        <f t="shared" si="165"/>
        <v>0</v>
      </c>
      <c r="BQ75" s="242">
        <f t="shared" si="165"/>
        <v>-612</v>
      </c>
      <c r="BR75" s="242">
        <f t="shared" si="165"/>
        <v>1747.4641100000001</v>
      </c>
      <c r="BS75" s="241"/>
      <c r="BT75" s="242">
        <f t="shared" ref="BT75:BY75" si="166">SUM(BT64:BT74)</f>
        <v>1208.02421</v>
      </c>
      <c r="BU75" s="242">
        <f t="shared" si="166"/>
        <v>603.5609300000001</v>
      </c>
      <c r="BV75" s="242">
        <f t="shared" si="166"/>
        <v>0</v>
      </c>
      <c r="BW75" s="242">
        <f t="shared" si="166"/>
        <v>0</v>
      </c>
      <c r="BX75" s="242">
        <f t="shared" si="166"/>
        <v>-459</v>
      </c>
      <c r="BY75" s="242">
        <f t="shared" si="166"/>
        <v>1352.5851399999999</v>
      </c>
      <c r="BZ75" s="241"/>
      <c r="CA75" s="242">
        <f t="shared" ref="CA75:CF75" si="167">SUM(CA64:CA74)</f>
        <v>814.49310000000003</v>
      </c>
      <c r="CB75" s="242">
        <f t="shared" si="167"/>
        <v>473.03021000000001</v>
      </c>
      <c r="CC75" s="242">
        <f t="shared" si="167"/>
        <v>0</v>
      </c>
      <c r="CD75" s="242">
        <f t="shared" si="167"/>
        <v>0</v>
      </c>
      <c r="CE75" s="242">
        <f t="shared" si="167"/>
        <v>-306</v>
      </c>
      <c r="CF75" s="242">
        <f t="shared" si="167"/>
        <v>981.52331000000004</v>
      </c>
      <c r="CG75" s="241"/>
      <c r="CH75" s="242">
        <f t="shared" ref="CH75:CM75" si="168">SUM(CH64:CH74)</f>
        <v>448.59316000000001</v>
      </c>
      <c r="CI75" s="242">
        <f t="shared" si="168"/>
        <v>376.07492999999999</v>
      </c>
      <c r="CJ75" s="242">
        <f t="shared" si="168"/>
        <v>0</v>
      </c>
      <c r="CK75" s="242">
        <f t="shared" si="168"/>
        <v>0</v>
      </c>
      <c r="CL75" s="242">
        <f t="shared" si="168"/>
        <v>-153</v>
      </c>
      <c r="CM75" s="242">
        <f t="shared" si="168"/>
        <v>671.66809000000001</v>
      </c>
      <c r="CN75" s="241"/>
      <c r="CO75" s="242">
        <f t="shared" ref="CO75:CT75" si="169">SUM(CO64:CO74)</f>
        <v>352.31252000000001</v>
      </c>
      <c r="CP75" s="242">
        <f t="shared" si="169"/>
        <v>112.44139000000001</v>
      </c>
      <c r="CQ75" s="242">
        <f t="shared" si="169"/>
        <v>0</v>
      </c>
      <c r="CR75" s="242">
        <f t="shared" si="169"/>
        <v>0</v>
      </c>
      <c r="CS75" s="242">
        <f t="shared" si="169"/>
        <v>0</v>
      </c>
      <c r="CT75" s="242">
        <f t="shared" si="169"/>
        <v>464.75391000000002</v>
      </c>
      <c r="CU75" s="241"/>
      <c r="CV75" s="242">
        <f t="shared" ref="CV75:DA75" si="170">SUM(CV64:CV74)</f>
        <v>968.58554000000015</v>
      </c>
      <c r="CW75" s="242">
        <f t="shared" si="170"/>
        <v>255.77581000000001</v>
      </c>
      <c r="CX75" s="242">
        <f t="shared" si="170"/>
        <v>0</v>
      </c>
      <c r="CY75" s="242">
        <f t="shared" si="170"/>
        <v>0</v>
      </c>
      <c r="CZ75" s="242">
        <f t="shared" si="170"/>
        <v>-153</v>
      </c>
      <c r="DA75" s="242">
        <f t="shared" si="170"/>
        <v>1071.3613500000001</v>
      </c>
      <c r="DB75" s="241"/>
      <c r="DC75" s="242">
        <f t="shared" ref="DC75:DH75" si="171">SUM(DC64:DC74)</f>
        <v>621.23301000000004</v>
      </c>
      <c r="DD75" s="242">
        <f t="shared" si="171"/>
        <v>166.19091</v>
      </c>
      <c r="DE75" s="242">
        <f t="shared" si="171"/>
        <v>0</v>
      </c>
      <c r="DF75" s="242">
        <f t="shared" si="171"/>
        <v>0</v>
      </c>
      <c r="DG75" s="242">
        <f t="shared" si="171"/>
        <v>-153</v>
      </c>
      <c r="DH75" s="242">
        <f t="shared" si="171"/>
        <v>634.42392000000007</v>
      </c>
      <c r="DI75" s="241"/>
      <c r="DJ75" s="242">
        <f t="shared" ref="DJ75:DO75" si="172">SUM(DJ64:DJ74)</f>
        <v>382.35375999999997</v>
      </c>
      <c r="DK75" s="242">
        <f t="shared" si="172"/>
        <v>95.712609999999998</v>
      </c>
      <c r="DL75" s="242">
        <f t="shared" si="172"/>
        <v>0</v>
      </c>
      <c r="DM75" s="242">
        <f t="shared" si="172"/>
        <v>0</v>
      </c>
      <c r="DN75" s="242">
        <f t="shared" si="172"/>
        <v>-612</v>
      </c>
      <c r="DO75" s="242">
        <f t="shared" si="172"/>
        <v>-133.93363000000002</v>
      </c>
      <c r="DP75" s="241"/>
      <c r="DQ75" s="242">
        <f t="shared" ref="DQ75:DV75" si="173">SUM(DQ64:DQ74)</f>
        <v>254.98721</v>
      </c>
      <c r="DR75" s="242">
        <f t="shared" si="173"/>
        <v>51.941980000000001</v>
      </c>
      <c r="DS75" s="242">
        <f t="shared" si="173"/>
        <v>0</v>
      </c>
      <c r="DT75" s="242">
        <f t="shared" si="173"/>
        <v>0</v>
      </c>
      <c r="DU75" s="242">
        <f t="shared" si="173"/>
        <v>-612</v>
      </c>
      <c r="DV75" s="242">
        <f t="shared" si="173"/>
        <v>-305.07080999999999</v>
      </c>
      <c r="DW75" s="241"/>
      <c r="DX75" s="242">
        <f t="shared" ref="DX75:EC75" si="174">SUM(DX64:DX74)</f>
        <v>1145.73191</v>
      </c>
      <c r="DY75" s="242">
        <f t="shared" si="174"/>
        <v>302.45276999999999</v>
      </c>
      <c r="DZ75" s="242">
        <f t="shared" si="174"/>
        <v>0</v>
      </c>
      <c r="EA75" s="242">
        <f t="shared" si="174"/>
        <v>0</v>
      </c>
      <c r="EB75" s="242">
        <f t="shared" si="174"/>
        <v>-612</v>
      </c>
      <c r="EC75" s="242">
        <f t="shared" si="174"/>
        <v>836.18467999999984</v>
      </c>
      <c r="ED75" s="241"/>
      <c r="EE75" s="242">
        <f t="shared" ref="EE75:EJ75" si="175">SUM(EE64:EE74)</f>
        <v>869.72816999999998</v>
      </c>
      <c r="EF75" s="242">
        <f t="shared" si="175"/>
        <v>169.86813000000001</v>
      </c>
      <c r="EG75" s="242">
        <f t="shared" si="175"/>
        <v>0</v>
      </c>
      <c r="EH75" s="242">
        <f t="shared" si="175"/>
        <v>0</v>
      </c>
      <c r="EI75" s="242">
        <f t="shared" si="175"/>
        <v>-459</v>
      </c>
      <c r="EJ75" s="242">
        <f t="shared" si="175"/>
        <v>580.59629999999993</v>
      </c>
      <c r="EK75" s="241"/>
      <c r="EL75" s="242">
        <f t="shared" ref="EL75:EQ75" si="176">SUM(EL64:EL74)</f>
        <v>605.87708000000009</v>
      </c>
      <c r="EM75" s="242">
        <f t="shared" si="176"/>
        <v>99.185469999999995</v>
      </c>
      <c r="EN75" s="242">
        <f t="shared" si="176"/>
        <v>0</v>
      </c>
      <c r="EO75" s="242">
        <f t="shared" si="176"/>
        <v>0</v>
      </c>
      <c r="EP75" s="242">
        <f t="shared" si="176"/>
        <v>-306</v>
      </c>
      <c r="EQ75" s="242">
        <f t="shared" si="176"/>
        <v>399.06255000000004</v>
      </c>
      <c r="ER75" s="241"/>
      <c r="ES75" s="242">
        <f t="shared" ref="ES75:EX75" si="177">SUM(ES64:ES74)</f>
        <v>323.85737</v>
      </c>
      <c r="ET75" s="242">
        <f t="shared" si="177"/>
        <v>62.549349999999997</v>
      </c>
      <c r="EU75" s="242">
        <f t="shared" si="177"/>
        <v>0</v>
      </c>
      <c r="EV75" s="242">
        <f t="shared" si="177"/>
        <v>0</v>
      </c>
      <c r="EW75" s="242">
        <f t="shared" si="177"/>
        <v>-153</v>
      </c>
      <c r="EX75" s="242">
        <f t="shared" si="177"/>
        <v>233.40672000000001</v>
      </c>
      <c r="EY75" s="241"/>
      <c r="EZ75" s="242">
        <f t="shared" ref="EZ75:FE75" si="178">SUM(EZ64:EZ74)</f>
        <v>2724.6535300000005</v>
      </c>
      <c r="FA75" s="242">
        <f t="shared" si="178"/>
        <v>296.27136999999999</v>
      </c>
      <c r="FB75" s="242">
        <f t="shared" si="178"/>
        <v>0</v>
      </c>
      <c r="FC75" s="242">
        <f t="shared" si="178"/>
        <v>0</v>
      </c>
      <c r="FD75" s="242">
        <f t="shared" si="178"/>
        <v>-612</v>
      </c>
      <c r="FE75" s="242">
        <f t="shared" si="178"/>
        <v>2408.9249000000004</v>
      </c>
      <c r="FF75" s="241"/>
      <c r="FG75" s="242">
        <f t="shared" ref="FG75:FL75" si="179">SUM(FG64:FG74)</f>
        <v>1980.7901400000001</v>
      </c>
      <c r="FH75" s="242">
        <f t="shared" si="179"/>
        <v>208.77758</v>
      </c>
      <c r="FI75" s="242">
        <f t="shared" si="179"/>
        <v>0</v>
      </c>
      <c r="FJ75" s="242">
        <f t="shared" si="179"/>
        <v>0</v>
      </c>
      <c r="FK75" s="242">
        <f t="shared" si="179"/>
        <v>-459</v>
      </c>
      <c r="FL75" s="242">
        <f t="shared" si="179"/>
        <v>1730.56772</v>
      </c>
      <c r="FM75" s="241"/>
      <c r="FN75" s="242">
        <f t="shared" ref="FN75:FS75" si="180">SUM(FN64:FN74)</f>
        <v>1395.2812700000002</v>
      </c>
      <c r="FO75" s="242">
        <f t="shared" si="180"/>
        <v>133.37633</v>
      </c>
      <c r="FP75" s="242">
        <f t="shared" si="180"/>
        <v>0</v>
      </c>
      <c r="FQ75" s="242">
        <f t="shared" si="180"/>
        <v>0</v>
      </c>
      <c r="FR75" s="242">
        <f t="shared" si="180"/>
        <v>-306</v>
      </c>
      <c r="FS75" s="242">
        <f t="shared" si="180"/>
        <v>1222.6576</v>
      </c>
      <c r="FT75" s="241"/>
      <c r="FU75" s="242">
        <f t="shared" ref="FU75:FZ75" si="181">SUM(FU64:FU74)</f>
        <v>735.20368000000008</v>
      </c>
      <c r="FV75" s="242">
        <f t="shared" si="181"/>
        <v>29.600770000000001</v>
      </c>
      <c r="FW75" s="242">
        <f t="shared" si="181"/>
        <v>0</v>
      </c>
      <c r="FX75" s="242">
        <f t="shared" si="181"/>
        <v>0</v>
      </c>
      <c r="FY75" s="242">
        <f t="shared" si="181"/>
        <v>-153</v>
      </c>
      <c r="FZ75" s="242">
        <f t="shared" si="181"/>
        <v>611.80445000000009</v>
      </c>
      <c r="GB75" s="242">
        <f t="shared" ref="GB75:GG75" si="182">SUM(GB64:GB74)</f>
        <v>27757.815659999997</v>
      </c>
      <c r="GC75" s="242">
        <f t="shared" si="182"/>
        <v>200.83698000000001</v>
      </c>
      <c r="GD75" s="242">
        <f t="shared" si="182"/>
        <v>0</v>
      </c>
      <c r="GE75" s="242">
        <f t="shared" si="182"/>
        <v>0</v>
      </c>
      <c r="GF75" s="242">
        <f t="shared" si="182"/>
        <v>-612</v>
      </c>
      <c r="GG75" s="242">
        <f t="shared" si="182"/>
        <v>27346.652639999997</v>
      </c>
      <c r="GI75" s="242">
        <f t="shared" ref="GI75:GN75" si="183">SUM(GI64:GI74)</f>
        <v>26982.330759999997</v>
      </c>
      <c r="GJ75" s="242">
        <f t="shared" si="183"/>
        <v>164.46319</v>
      </c>
      <c r="GK75" s="242">
        <f t="shared" si="183"/>
        <v>0</v>
      </c>
      <c r="GL75" s="242">
        <f t="shared" si="183"/>
        <v>0</v>
      </c>
      <c r="GM75" s="242">
        <f t="shared" si="183"/>
        <v>-459</v>
      </c>
      <c r="GN75" s="242">
        <f t="shared" si="183"/>
        <v>26687.793949999999</v>
      </c>
      <c r="GP75" s="242">
        <f t="shared" ref="GP75:GU75" si="184">SUM(GP64:GP74)</f>
        <v>1905.8685999999998</v>
      </c>
      <c r="GQ75" s="242">
        <f t="shared" si="184"/>
        <v>123.00998</v>
      </c>
      <c r="GR75" s="242">
        <f t="shared" si="184"/>
        <v>0</v>
      </c>
      <c r="GS75" s="242">
        <f t="shared" si="184"/>
        <v>0</v>
      </c>
      <c r="GT75" s="242">
        <f t="shared" si="184"/>
        <v>-153</v>
      </c>
      <c r="GU75" s="242">
        <f t="shared" si="184"/>
        <v>1875.8785800000001</v>
      </c>
      <c r="GW75" s="242">
        <f t="shared" ref="GW75:HB75" si="185">SUM(GW64:GW74)</f>
        <v>433.54871999999995</v>
      </c>
      <c r="GX75" s="242">
        <f t="shared" si="185"/>
        <v>50.268419999999999</v>
      </c>
      <c r="GY75" s="242">
        <f t="shared" si="185"/>
        <v>0</v>
      </c>
      <c r="GZ75" s="242">
        <f t="shared" si="185"/>
        <v>0</v>
      </c>
      <c r="HA75" s="242">
        <f t="shared" si="185"/>
        <v>-153</v>
      </c>
      <c r="HB75" s="242">
        <f t="shared" si="185"/>
        <v>330.81713999999999</v>
      </c>
    </row>
  </sheetData>
  <phoneticPr fontId="0" type="noConversion"/>
  <pageMargins left="0.63" right="0.75" top="0.43" bottom="0.46" header="0.23" footer="0.21"/>
  <pageSetup paperSize="9" scale="10" orientation="landscape" blackAndWhite="1" horizontalDpi="1200" verticalDpi="1200" r:id="rId1"/>
  <headerFooter alignWithMargins="0">
    <oddFooter>&amp;L&amp;D&amp;F&amp;A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 enableFormatConditionsCalculation="0">
    <tabColor rgb="FFFFC000"/>
    <pageSetUpPr fitToPage="1"/>
  </sheetPr>
  <dimension ref="A1:J163"/>
  <sheetViews>
    <sheetView workbookViewId="0"/>
  </sheetViews>
  <sheetFormatPr defaultColWidth="11.7109375" defaultRowHeight="12.75" outlineLevelRow="2"/>
  <cols>
    <col min="1" max="1" width="10.42578125" customWidth="1"/>
    <col min="2" max="2" width="13.85546875" customWidth="1"/>
    <col min="3" max="3" width="13.42578125" style="34" customWidth="1"/>
    <col min="4" max="4" width="6.140625" customWidth="1"/>
    <col min="5" max="5" width="28.140625" customWidth="1"/>
    <col min="6" max="6" width="21.85546875" customWidth="1"/>
  </cols>
  <sheetData>
    <row r="1" spans="1:10">
      <c r="C1" s="391" t="s">
        <v>253</v>
      </c>
    </row>
    <row r="3" spans="1:10">
      <c r="C3" s="392"/>
    </row>
    <row r="4" spans="1:10">
      <c r="F4" s="24"/>
    </row>
    <row r="5" spans="1:10">
      <c r="A5" t="s">
        <v>1</v>
      </c>
      <c r="B5" t="s">
        <v>2</v>
      </c>
      <c r="C5" s="391" t="s">
        <v>3</v>
      </c>
      <c r="D5" s="25" t="s">
        <v>4</v>
      </c>
      <c r="E5" s="19" t="s">
        <v>5</v>
      </c>
      <c r="F5" s="454">
        <v>40724</v>
      </c>
      <c r="G5">
        <f>HLOOKUP(F5,Alcom!$K$1:$V$2,2,FALSE)</f>
        <v>3</v>
      </c>
    </row>
    <row r="6" spans="1:10" outlineLevel="2">
      <c r="A6" s="37" t="s">
        <v>6</v>
      </c>
      <c r="B6" s="37" t="s">
        <v>6</v>
      </c>
      <c r="C6" s="35">
        <v>1410000000</v>
      </c>
      <c r="D6" s="36">
        <v>6000</v>
      </c>
      <c r="E6" s="35" t="s">
        <v>254</v>
      </c>
      <c r="F6" s="27">
        <f>SUMPRODUCT((ANSC!$A$3:$A$2399=CONCATENATE(D6,C6))*(ANSC!$K$1:$V$1=$F$5),ANSC!$K$3:$V$2399)</f>
        <v>26094376.960000001</v>
      </c>
      <c r="J6" s="253"/>
    </row>
    <row r="7" spans="1:10" outlineLevel="2">
      <c r="A7" s="37" t="s">
        <v>6</v>
      </c>
      <c r="B7" s="37" t="s">
        <v>6</v>
      </c>
      <c r="C7" s="35">
        <v>1411000000</v>
      </c>
      <c r="D7" s="36">
        <v>6000</v>
      </c>
      <c r="E7" s="35" t="s">
        <v>8</v>
      </c>
      <c r="F7" s="27">
        <f>SUMPRODUCT((ANSC!$A$3:$A$2399=CONCATENATE(D7,C7))*(ANSC!$K$1:$V$1=$F$5),ANSC!$K$3:$V$2399)</f>
        <v>2847.5</v>
      </c>
      <c r="J7" s="253"/>
    </row>
    <row r="8" spans="1:10" outlineLevel="2">
      <c r="A8" s="37" t="s">
        <v>6</v>
      </c>
      <c r="B8" s="37" t="s">
        <v>6</v>
      </c>
      <c r="C8" s="35" t="s">
        <v>2595</v>
      </c>
      <c r="D8" s="36">
        <v>6000</v>
      </c>
      <c r="E8" s="36" t="s">
        <v>2596</v>
      </c>
      <c r="F8" s="27">
        <f>SUMPRODUCT((ANSC!$A$3:$A$2399=CONCATENATE(D8,C8))*(ANSC!$K$1:$V$1=$F$5),ANSC!$K$3:$V$2399)</f>
        <v>380.16</v>
      </c>
      <c r="J8" s="253"/>
    </row>
    <row r="9" spans="1:10" outlineLevel="2">
      <c r="A9" s="37" t="s">
        <v>6</v>
      </c>
      <c r="B9" s="37" t="s">
        <v>6</v>
      </c>
      <c r="C9" s="35" t="s">
        <v>2597</v>
      </c>
      <c r="D9" s="36">
        <v>6000</v>
      </c>
      <c r="E9" s="36" t="s">
        <v>2598</v>
      </c>
      <c r="F9" s="27">
        <f>SUMPRODUCT((ANSC!$A$3:$A$2399=CONCATENATE(D9,C9))*(ANSC!$K$1:$V$1=$F$5),ANSC!$K$3:$V$2399)</f>
        <v>31.75</v>
      </c>
      <c r="J9" s="253"/>
    </row>
    <row r="10" spans="1:10" outlineLevel="2">
      <c r="A10" s="37" t="s">
        <v>6</v>
      </c>
      <c r="B10" s="37" t="s">
        <v>6</v>
      </c>
      <c r="C10" s="35">
        <v>2011000000</v>
      </c>
      <c r="D10" s="36">
        <v>6000</v>
      </c>
      <c r="E10" s="35" t="s">
        <v>255</v>
      </c>
      <c r="F10" s="27">
        <f>SUMPRODUCT((ANSC!$A$3:$A$2399=CONCATENATE(D10,C10))*(ANSC!$K$1:$V$1=$F$5),ANSC!$K$3:$V$2399)</f>
        <v>1035341.49</v>
      </c>
      <c r="J10" s="253"/>
    </row>
    <row r="11" spans="1:10" outlineLevel="2">
      <c r="A11" s="37" t="s">
        <v>6</v>
      </c>
      <c r="B11" s="37" t="s">
        <v>6</v>
      </c>
      <c r="C11" s="35">
        <v>2011020000</v>
      </c>
      <c r="D11" s="36">
        <v>6000</v>
      </c>
      <c r="E11" s="35" t="s">
        <v>256</v>
      </c>
      <c r="F11" s="27">
        <f>SUMPRODUCT((ANSC!$A$3:$A$2399=CONCATENATE(D11,C11))*(ANSC!$K$1:$V$1=$F$5),ANSC!$K$3:$V$2399)</f>
        <v>8.6199999999999992</v>
      </c>
      <c r="J11" s="253"/>
    </row>
    <row r="12" spans="1:10" outlineLevel="2">
      <c r="A12" s="37" t="s">
        <v>6</v>
      </c>
      <c r="B12" s="37" t="s">
        <v>6</v>
      </c>
      <c r="C12" s="35">
        <v>2011100000</v>
      </c>
      <c r="D12" s="36">
        <v>6000</v>
      </c>
      <c r="E12" s="35" t="s">
        <v>257</v>
      </c>
      <c r="F12" s="27">
        <f>SUMPRODUCT((ANSC!$A$3:$A$2399=CONCATENATE(D12,C12))*(ANSC!$K$1:$V$1=$F$5),ANSC!$K$3:$V$2399)</f>
        <v>0</v>
      </c>
    </row>
    <row r="13" spans="1:10" outlineLevel="1">
      <c r="A13" s="126" t="s">
        <v>15</v>
      </c>
      <c r="B13" s="37"/>
      <c r="C13" s="35"/>
      <c r="D13" s="36"/>
      <c r="E13" s="35"/>
      <c r="F13" s="27">
        <f>SUBTOTAL(9,F6:F12)</f>
        <v>27132986.48</v>
      </c>
      <c r="J13" s="253"/>
    </row>
    <row r="14" spans="1:10" outlineLevel="2">
      <c r="A14" s="37" t="s">
        <v>16</v>
      </c>
      <c r="B14" s="37" t="s">
        <v>16</v>
      </c>
      <c r="C14" s="35">
        <v>3000000000</v>
      </c>
      <c r="D14" s="36">
        <v>6000</v>
      </c>
      <c r="E14" s="35" t="s">
        <v>258</v>
      </c>
      <c r="F14" s="27">
        <f>SUMPRODUCT((ANSC!$A$3:$A$2399=CONCATENATE(D14,C14))*(ANSC!$K$1:$V$1=$F$5),ANSC!$K$3:$V$2399)</f>
        <v>-12250000</v>
      </c>
      <c r="J14" s="253"/>
    </row>
    <row r="15" spans="1:10" outlineLevel="2">
      <c r="A15" s="37" t="s">
        <v>16</v>
      </c>
      <c r="B15" s="37" t="s">
        <v>16</v>
      </c>
      <c r="C15" s="35">
        <v>3020000000</v>
      </c>
      <c r="D15" s="36">
        <v>6000</v>
      </c>
      <c r="E15" s="35" t="s">
        <v>259</v>
      </c>
      <c r="F15" s="27">
        <f>SUMPRODUCT((ANSC!$A$3:$A$2399=CONCATENATE(D15,C15))*(ANSC!$K$1:$V$1=$F$5),ANSC!$K$3:$V$2399)</f>
        <v>-22346944.359999999</v>
      </c>
      <c r="J15" s="253"/>
    </row>
    <row r="16" spans="1:10" outlineLevel="2">
      <c r="A16" s="37" t="s">
        <v>16</v>
      </c>
      <c r="B16" s="37" t="s">
        <v>16</v>
      </c>
      <c r="C16" s="35">
        <v>3030000000</v>
      </c>
      <c r="D16" s="36">
        <v>6000</v>
      </c>
      <c r="E16" s="35" t="s">
        <v>260</v>
      </c>
      <c r="F16" s="27">
        <f>SUMPRODUCT((ANSC!$A$3:$A$2399=CONCATENATE(D16,C16))*(ANSC!$K$1:$V$1=$F$5),ANSC!$K$3:$V$2399)</f>
        <v>-362500</v>
      </c>
    </row>
    <row r="17" spans="1:10" outlineLevel="1">
      <c r="A17" s="46" t="s">
        <v>24</v>
      </c>
      <c r="B17" s="37"/>
      <c r="C17" s="35"/>
      <c r="D17" s="36"/>
      <c r="E17" s="35"/>
      <c r="F17" s="27">
        <f>SUBTOTAL(9,F14:F16)</f>
        <v>-34959444.359999999</v>
      </c>
    </row>
    <row r="18" spans="1:10" outlineLevel="2">
      <c r="A18" s="37" t="s">
        <v>25</v>
      </c>
      <c r="B18" s="37" t="s">
        <v>25</v>
      </c>
      <c r="C18" s="35">
        <v>1010000000</v>
      </c>
      <c r="D18" s="36">
        <v>6000</v>
      </c>
      <c r="E18" s="35" t="s">
        <v>261</v>
      </c>
      <c r="F18" s="27">
        <f>SUMPRODUCT((ANSC!$A$3:$A$2399=CONCATENATE(D18,C18))*(ANSC!$K$1:$V$1=$F$5),ANSC!$K$3:$V$2399)</f>
        <v>35303551.299999997</v>
      </c>
      <c r="J18" s="253"/>
    </row>
    <row r="19" spans="1:10" outlineLevel="2">
      <c r="A19" s="37" t="s">
        <v>25</v>
      </c>
      <c r="B19" s="37" t="s">
        <v>25</v>
      </c>
      <c r="C19" s="35">
        <v>1040000000</v>
      </c>
      <c r="D19" s="36">
        <v>6000</v>
      </c>
      <c r="E19" s="35" t="s">
        <v>262</v>
      </c>
      <c r="F19" s="27">
        <f>SUMPRODUCT((ANSC!$A$3:$A$2399=CONCATENATE(D19,C19))*(ANSC!$K$1:$V$1=$F$5),ANSC!$K$3:$V$2399)</f>
        <v>42144</v>
      </c>
      <c r="J19" s="253"/>
    </row>
    <row r="20" spans="1:10" outlineLevel="2">
      <c r="A20" s="37" t="s">
        <v>25</v>
      </c>
      <c r="B20" s="37" t="s">
        <v>25</v>
      </c>
      <c r="C20" s="35">
        <v>2120000000</v>
      </c>
      <c r="D20" s="36">
        <v>6000</v>
      </c>
      <c r="E20" s="35" t="s">
        <v>263</v>
      </c>
      <c r="F20" s="27">
        <f>SUMPRODUCT((ANSC!$A$3:$A$2399=CONCATENATE(D20,C20))*(ANSC!$K$1:$V$1=$F$5),ANSC!$K$3:$V$2399)</f>
        <v>-24143851.760000002</v>
      </c>
      <c r="J20" s="253"/>
    </row>
    <row r="21" spans="1:10" outlineLevel="1">
      <c r="A21" s="46" t="s">
        <v>55</v>
      </c>
      <c r="B21" s="37"/>
      <c r="C21" s="35"/>
      <c r="D21" s="36"/>
      <c r="E21" s="35"/>
      <c r="F21" s="27">
        <f>SUBTOTAL(9,F18:F20)</f>
        <v>11201843.539999995</v>
      </c>
    </row>
    <row r="22" spans="1:10" outlineLevel="2">
      <c r="A22" s="37" t="s">
        <v>56</v>
      </c>
      <c r="B22" s="37" t="s">
        <v>56</v>
      </c>
      <c r="C22" s="35">
        <v>1400900000</v>
      </c>
      <c r="D22" s="36">
        <v>6000</v>
      </c>
      <c r="E22" s="35" t="s">
        <v>57</v>
      </c>
      <c r="F22" s="27">
        <f>SUMPRODUCT((ANSC!$A$3:$A$2399=CONCATENATE(D22,C22))*(ANSC!$K$1:$V$1=$F$5),ANSC!$K$3:$V$2399)</f>
        <v>0</v>
      </c>
    </row>
    <row r="23" spans="1:10" outlineLevel="2">
      <c r="A23" s="37" t="s">
        <v>56</v>
      </c>
      <c r="B23" s="37" t="s">
        <v>56</v>
      </c>
      <c r="C23" s="35">
        <v>1401000000</v>
      </c>
      <c r="D23" s="36">
        <v>6000</v>
      </c>
      <c r="E23" s="35" t="s">
        <v>264</v>
      </c>
      <c r="F23" s="27">
        <f>SUMPRODUCT((ANSC!$A$3:$A$2399=CONCATENATE(D23,C23))*(ANSC!$K$1:$V$1=$F$5),ANSC!$K$3:$V$2399)</f>
        <v>902759.04</v>
      </c>
      <c r="J23" s="253"/>
    </row>
    <row r="24" spans="1:10" outlineLevel="2">
      <c r="A24" s="37" t="s">
        <v>56</v>
      </c>
      <c r="B24" s="37" t="s">
        <v>56</v>
      </c>
      <c r="C24" s="35">
        <v>1402000000</v>
      </c>
      <c r="D24" s="36">
        <v>6000</v>
      </c>
      <c r="E24" s="35" t="s">
        <v>265</v>
      </c>
      <c r="F24" s="27">
        <f>SUMPRODUCT((ANSC!$A$3:$A$2399=CONCATENATE(D24,C24))*(ANSC!$K$1:$V$1=$F$5),ANSC!$K$3:$V$2399)</f>
        <v>964636.65</v>
      </c>
      <c r="J24" s="253"/>
    </row>
    <row r="25" spans="1:10" outlineLevel="2">
      <c r="A25" s="37" t="s">
        <v>56</v>
      </c>
      <c r="B25" s="37" t="s">
        <v>56</v>
      </c>
      <c r="C25" s="35">
        <v>1403000000</v>
      </c>
      <c r="D25" s="36">
        <v>6000</v>
      </c>
      <c r="E25" s="35" t="s">
        <v>266</v>
      </c>
      <c r="F25" s="27">
        <f>SUMPRODUCT((ANSC!$A$3:$A$2399=CONCATENATE(D25,C25))*(ANSC!$K$1:$V$1=$F$5),ANSC!$K$3:$V$2399)</f>
        <v>0</v>
      </c>
      <c r="J25" s="253"/>
    </row>
    <row r="26" spans="1:10" outlineLevel="2">
      <c r="A26" s="37" t="s">
        <v>56</v>
      </c>
      <c r="B26" s="37" t="s">
        <v>56</v>
      </c>
      <c r="C26" s="35">
        <v>1403100000</v>
      </c>
      <c r="D26" s="36">
        <v>6000</v>
      </c>
      <c r="E26" s="35" t="s">
        <v>267</v>
      </c>
      <c r="F26" s="27">
        <f>SUMPRODUCT((ANSC!$A$3:$A$2399=CONCATENATE(D26,C26))*(ANSC!$K$1:$V$1=$F$5),ANSC!$K$3:$V$2399)</f>
        <v>974367.7</v>
      </c>
      <c r="J26" s="253"/>
    </row>
    <row r="27" spans="1:10" outlineLevel="2">
      <c r="A27" s="37" t="s">
        <v>56</v>
      </c>
      <c r="B27" s="37" t="s">
        <v>56</v>
      </c>
      <c r="C27" s="35">
        <v>1404000000</v>
      </c>
      <c r="D27" s="36">
        <v>6000</v>
      </c>
      <c r="E27" s="35" t="s">
        <v>69</v>
      </c>
      <c r="F27" s="27">
        <f>SUMPRODUCT((ANSC!$A$3:$A$2399=CONCATENATE(D27,C27))*(ANSC!$K$1:$V$1=$F$5),ANSC!$K$3:$V$2399)</f>
        <v>3481383.88</v>
      </c>
      <c r="J27" s="253"/>
    </row>
    <row r="28" spans="1:10" outlineLevel="2">
      <c r="A28" s="37" t="s">
        <v>56</v>
      </c>
      <c r="B28" s="37" t="s">
        <v>56</v>
      </c>
      <c r="C28" s="35">
        <v>1409000000</v>
      </c>
      <c r="D28" s="36">
        <v>6000</v>
      </c>
      <c r="E28" s="35" t="s">
        <v>721</v>
      </c>
      <c r="F28" s="27">
        <f>SUMPRODUCT((ANSC!$A$3:$A$2399=CONCATENATE(D28,C28))*(ANSC!$K$1:$V$1=$F$5),ANSC!$K$3:$V$2399)</f>
        <v>-29000</v>
      </c>
      <c r="J28" s="253"/>
    </row>
    <row r="29" spans="1:10" outlineLevel="2">
      <c r="A29" s="37" t="s">
        <v>56</v>
      </c>
      <c r="B29" s="37" t="s">
        <v>56</v>
      </c>
      <c r="C29" s="420">
        <v>1409100000</v>
      </c>
      <c r="D29" s="36">
        <v>6000</v>
      </c>
      <c r="E29" s="35" t="s">
        <v>722</v>
      </c>
      <c r="F29" s="27">
        <f>SUMPRODUCT((ANSC!$A$3:$A$2399=CONCATENATE(D29,C29))*(ANSC!$K$1:$V$1=$F$5),ANSC!$K$3:$V$2399)</f>
        <v>-58000</v>
      </c>
      <c r="J29" s="253"/>
    </row>
    <row r="30" spans="1:10" outlineLevel="1">
      <c r="A30" s="46" t="s">
        <v>71</v>
      </c>
      <c r="B30" s="37"/>
      <c r="C30" s="35"/>
      <c r="D30" s="36"/>
      <c r="E30" s="35"/>
      <c r="F30" s="27">
        <f>SUBTOTAL(9,F22:F29)</f>
        <v>6236147.2699999996</v>
      </c>
    </row>
    <row r="31" spans="1:10" outlineLevel="2">
      <c r="A31" s="37" t="s">
        <v>72</v>
      </c>
      <c r="B31" s="37" t="s">
        <v>72</v>
      </c>
      <c r="C31" s="35">
        <v>1405000000</v>
      </c>
      <c r="D31" s="36">
        <v>6000</v>
      </c>
      <c r="E31" s="35" t="s">
        <v>268</v>
      </c>
      <c r="F31" s="27">
        <f>SUMPRODUCT((ANSC!$A$3:$A$2399=CONCATENATE(D31,C31))*(ANSC!$K$1:$V$1=$F$5),ANSC!$K$3:$V$2399)</f>
        <v>912757.03</v>
      </c>
      <c r="J31" s="253"/>
    </row>
    <row r="32" spans="1:10" outlineLevel="2">
      <c r="A32" s="37" t="s">
        <v>72</v>
      </c>
      <c r="B32" s="37" t="s">
        <v>72</v>
      </c>
      <c r="C32" s="35">
        <v>1405010000</v>
      </c>
      <c r="D32" s="36">
        <v>6000</v>
      </c>
      <c r="E32" s="35" t="s">
        <v>269</v>
      </c>
      <c r="F32" s="27">
        <f>SUMPRODUCT((ANSC!$A$3:$A$2399=CONCATENATE(D32,C32))*(ANSC!$K$1:$V$1=$F$5),ANSC!$K$3:$V$2399)</f>
        <v>1016709.4</v>
      </c>
      <c r="J32" s="253"/>
    </row>
    <row r="33" spans="1:10" outlineLevel="2">
      <c r="A33" s="37" t="s">
        <v>72</v>
      </c>
      <c r="B33" s="37" t="s">
        <v>72</v>
      </c>
      <c r="C33" s="35">
        <v>1409200000</v>
      </c>
      <c r="D33" s="36">
        <v>6000</v>
      </c>
      <c r="E33" s="35" t="s">
        <v>270</v>
      </c>
      <c r="F33" s="27">
        <f>SUMPRODUCT((ANSC!$A$3:$A$2399=CONCATENATE(D33,C33))*(ANSC!$K$1:$V$1=$F$5),ANSC!$K$3:$V$2399)</f>
        <v>-206549</v>
      </c>
      <c r="J33" s="253"/>
    </row>
    <row r="34" spans="1:10" outlineLevel="1">
      <c r="A34" s="46" t="s">
        <v>83</v>
      </c>
      <c r="B34" s="37"/>
      <c r="C34" s="35"/>
      <c r="D34" s="36"/>
      <c r="E34" s="35"/>
      <c r="F34" s="27">
        <f>SUBTOTAL(9,F31:F33)</f>
        <v>1722917.4300000002</v>
      </c>
    </row>
    <row r="35" spans="1:10" outlineLevel="2">
      <c r="A35" s="128" t="s">
        <v>84</v>
      </c>
      <c r="B35" s="128" t="s">
        <v>85</v>
      </c>
      <c r="C35" s="36">
        <v>2002203000</v>
      </c>
      <c r="D35" s="36">
        <v>6000</v>
      </c>
      <c r="E35" s="35" t="s">
        <v>271</v>
      </c>
      <c r="F35" s="27">
        <f>SUMPRODUCT((ANSC!$A$3:$A$2399=CONCATENATE(D35,C35))*(ANSC!$K$1:$V$1=$F$5),ANSC!$K$3:$V$2399)</f>
        <v>0</v>
      </c>
      <c r="J35" s="253"/>
    </row>
    <row r="36" spans="1:10" outlineLevel="2">
      <c r="A36" s="128" t="s">
        <v>84</v>
      </c>
      <c r="B36" s="128" t="s">
        <v>85</v>
      </c>
      <c r="C36" s="36">
        <v>2031400000</v>
      </c>
      <c r="D36" s="36">
        <v>6000</v>
      </c>
      <c r="E36" s="35" t="s">
        <v>272</v>
      </c>
      <c r="F36" s="27">
        <f>SUMPRODUCT((ANSC!$A$3:$A$2399=CONCATENATE(D36,C36))*(ANSC!$K$1:$V$1=$F$5),ANSC!$K$3:$V$2399)</f>
        <v>-54960.32</v>
      </c>
      <c r="J36" s="253"/>
    </row>
    <row r="37" spans="1:10" outlineLevel="2">
      <c r="A37" s="128" t="s">
        <v>84</v>
      </c>
      <c r="B37" s="128" t="s">
        <v>85</v>
      </c>
      <c r="C37" s="36">
        <v>2031500000</v>
      </c>
      <c r="D37" s="36">
        <v>6000</v>
      </c>
      <c r="E37" s="35" t="s">
        <v>273</v>
      </c>
      <c r="F37" s="27">
        <f>SUMPRODUCT((ANSC!$A$3:$A$2399=CONCATENATE(D37,C37))*(ANSC!$K$1:$V$1=$F$5),ANSC!$K$3:$V$2399)</f>
        <v>-336454.15</v>
      </c>
      <c r="J37" s="253"/>
    </row>
    <row r="38" spans="1:10" outlineLevel="2">
      <c r="A38" s="128" t="s">
        <v>84</v>
      </c>
      <c r="B38" s="128" t="s">
        <v>99</v>
      </c>
      <c r="C38" s="36">
        <v>2001000001</v>
      </c>
      <c r="D38" s="36">
        <v>6000</v>
      </c>
      <c r="E38" s="35" t="s">
        <v>274</v>
      </c>
      <c r="F38" s="27">
        <f>SUMPRODUCT((ANSC!$A$3:$A$2399=CONCATENATE(D38,C38))*(ANSC!$K$1:$V$1=$F$5),ANSC!$K$3:$V$2399)</f>
        <v>-1539684.93</v>
      </c>
      <c r="J38" s="253"/>
    </row>
    <row r="39" spans="1:10" outlineLevel="2">
      <c r="A39" s="128" t="s">
        <v>84</v>
      </c>
      <c r="B39" s="128" t="s">
        <v>99</v>
      </c>
      <c r="C39" s="36">
        <v>2001000002</v>
      </c>
      <c r="D39" s="36">
        <v>6000</v>
      </c>
      <c r="E39" s="35" t="s">
        <v>275</v>
      </c>
      <c r="F39" s="27">
        <f>SUMPRODUCT((ANSC!$A$3:$A$2399=CONCATENATE(D39,C39))*(ANSC!$K$1:$V$1=$F$5),ANSC!$K$3:$V$2399)</f>
        <v>-484933.13</v>
      </c>
      <c r="J39" s="253"/>
    </row>
    <row r="40" spans="1:10" outlineLevel="2">
      <c r="A40" s="128" t="s">
        <v>84</v>
      </c>
      <c r="B40" s="128" t="s">
        <v>99</v>
      </c>
      <c r="C40" s="36">
        <v>2031000000</v>
      </c>
      <c r="D40" s="36">
        <v>6000</v>
      </c>
      <c r="E40" s="35" t="s">
        <v>276</v>
      </c>
      <c r="F40" s="27">
        <f>SUMPRODUCT((ANSC!$A$3:$A$2399=CONCATENATE(D40,C40))*(ANSC!$K$1:$V$1=$F$5),ANSC!$K$3:$V$2399)</f>
        <v>-672500</v>
      </c>
    </row>
    <row r="41" spans="1:10" outlineLevel="2">
      <c r="A41" s="128" t="s">
        <v>84</v>
      </c>
      <c r="B41" s="128" t="s">
        <v>99</v>
      </c>
      <c r="C41" s="36">
        <v>2031100000</v>
      </c>
      <c r="D41" s="36">
        <v>6000</v>
      </c>
      <c r="E41" s="35" t="s">
        <v>277</v>
      </c>
      <c r="F41" s="27">
        <f>SUMPRODUCT((ANSC!$A$3:$A$2399=CONCATENATE(D41,C41))*(ANSC!$K$1:$V$1=$F$5),ANSC!$K$3:$V$2399)</f>
        <v>-101174.23</v>
      </c>
    </row>
    <row r="42" spans="1:10" outlineLevel="2">
      <c r="A42" s="128" t="s">
        <v>84</v>
      </c>
      <c r="B42" s="128" t="s">
        <v>104</v>
      </c>
      <c r="C42" s="36">
        <v>1311100000</v>
      </c>
      <c r="D42" s="36">
        <v>6000</v>
      </c>
      <c r="E42" s="35" t="s">
        <v>278</v>
      </c>
      <c r="F42" s="27">
        <f>SUMPRODUCT((ANSC!$A$3:$A$2399=CONCATENATE(D42,C42))*(ANSC!$K$1:$V$1=$F$5),ANSC!$K$3:$V$2399)</f>
        <v>-76941.179999999993</v>
      </c>
    </row>
    <row r="43" spans="1:10" outlineLevel="2">
      <c r="A43" s="128" t="s">
        <v>84</v>
      </c>
      <c r="B43" s="128" t="s">
        <v>104</v>
      </c>
      <c r="C43" s="36">
        <v>2001900000</v>
      </c>
      <c r="D43" s="36">
        <v>6000</v>
      </c>
      <c r="E43" s="35" t="s">
        <v>571</v>
      </c>
      <c r="F43" s="27">
        <f>SUMPRODUCT((ANSC!$A$3:$A$2399=CONCATENATE(D43,C43))*(ANSC!$K$1:$V$1=$F$5),ANSC!$K$3:$V$2399)</f>
        <v>5500</v>
      </c>
      <c r="J43" s="253"/>
    </row>
    <row r="44" spans="1:10" outlineLevel="2">
      <c r="A44" s="128" t="s">
        <v>84</v>
      </c>
      <c r="B44" s="128" t="s">
        <v>104</v>
      </c>
      <c r="C44" s="36">
        <v>2003000000</v>
      </c>
      <c r="D44" s="36">
        <v>6000</v>
      </c>
      <c r="E44" s="35" t="s">
        <v>279</v>
      </c>
      <c r="F44" s="27">
        <f>SUMPRODUCT((ANSC!$A$3:$A$2399=CONCATENATE(D44,C44))*(ANSC!$K$1:$V$1=$F$5),ANSC!$K$3:$V$2399)</f>
        <v>0</v>
      </c>
      <c r="J44" s="253"/>
    </row>
    <row r="45" spans="1:10" outlineLevel="2">
      <c r="A45" s="128" t="s">
        <v>84</v>
      </c>
      <c r="B45" s="128" t="s">
        <v>104</v>
      </c>
      <c r="C45" s="36">
        <v>2003001100</v>
      </c>
      <c r="D45" s="36">
        <v>6000</v>
      </c>
      <c r="E45" s="35" t="s">
        <v>280</v>
      </c>
      <c r="F45" s="27">
        <f>SUMPRODUCT((ANSC!$A$3:$A$2399=CONCATENATE(D45,C45))*(ANSC!$K$1:$V$1=$F$5),ANSC!$K$3:$V$2399)</f>
        <v>-96960.960000000006</v>
      </c>
      <c r="J45" s="253"/>
    </row>
    <row r="46" spans="1:10" outlineLevel="2">
      <c r="A46" s="128" t="s">
        <v>84</v>
      </c>
      <c r="B46" s="128" t="s">
        <v>104</v>
      </c>
      <c r="C46" s="36">
        <v>2003001200</v>
      </c>
      <c r="D46" s="36">
        <v>6000</v>
      </c>
      <c r="E46" s="35" t="s">
        <v>724</v>
      </c>
      <c r="F46" s="27">
        <f>SUMPRODUCT((ANSC!$A$3:$A$2399=CONCATENATE(D46,C46))*(ANSC!$K$1:$V$1=$F$5),ANSC!$K$3:$V$2399)</f>
        <v>0</v>
      </c>
      <c r="J46" s="253"/>
    </row>
    <row r="47" spans="1:10" outlineLevel="2">
      <c r="A47" s="128" t="s">
        <v>84</v>
      </c>
      <c r="B47" s="128" t="s">
        <v>104</v>
      </c>
      <c r="C47" s="36">
        <v>2003001300</v>
      </c>
      <c r="D47" s="36">
        <v>6000</v>
      </c>
      <c r="E47" s="36" t="s">
        <v>775</v>
      </c>
      <c r="F47" s="27">
        <f>SUMPRODUCT((ANSC!$A$3:$A$2399=CONCATENATE(D47,C47))*(ANSC!$K$1:$V$1=$F$5),ANSC!$K$3:$V$2399)</f>
        <v>0</v>
      </c>
      <c r="J47" s="253"/>
    </row>
    <row r="48" spans="1:10" outlineLevel="2">
      <c r="A48" s="128" t="s">
        <v>84</v>
      </c>
      <c r="B48" s="128" t="s">
        <v>104</v>
      </c>
      <c r="C48" s="36">
        <v>2003001400</v>
      </c>
      <c r="D48" s="36">
        <v>6000</v>
      </c>
      <c r="E48" s="36" t="s">
        <v>776</v>
      </c>
      <c r="F48" s="27">
        <f>SUMPRODUCT((ANSC!$A$3:$A$2399=CONCATENATE(D48,C48))*(ANSC!$K$1:$V$1=$F$5),ANSC!$K$3:$V$2399)</f>
        <v>0</v>
      </c>
      <c r="J48" s="253"/>
    </row>
    <row r="49" spans="1:10" outlineLevel="2">
      <c r="A49" s="128" t="s">
        <v>84</v>
      </c>
      <c r="B49" s="128" t="s">
        <v>104</v>
      </c>
      <c r="C49" s="36">
        <v>2003001500</v>
      </c>
      <c r="D49" s="36">
        <v>6000</v>
      </c>
      <c r="E49" s="36" t="s">
        <v>777</v>
      </c>
      <c r="F49" s="27">
        <f>SUMPRODUCT((ANSC!$A$3:$A$2399=CONCATENATE(D49,C49))*(ANSC!$K$1:$V$1=$F$5),ANSC!$K$3:$V$2399)</f>
        <v>0</v>
      </c>
      <c r="J49" s="253"/>
    </row>
    <row r="50" spans="1:10" outlineLevel="2">
      <c r="A50" s="128" t="s">
        <v>84</v>
      </c>
      <c r="B50" s="128" t="s">
        <v>104</v>
      </c>
      <c r="C50" s="36">
        <v>2003001600</v>
      </c>
      <c r="D50" s="36">
        <v>6000</v>
      </c>
      <c r="E50" s="36" t="s">
        <v>778</v>
      </c>
      <c r="F50" s="27">
        <f>SUMPRODUCT((ANSC!$A$3:$A$2399=CONCATENATE(D50,C50))*(ANSC!$K$1:$V$1=$F$5),ANSC!$K$3:$V$2399)</f>
        <v>0</v>
      </c>
      <c r="J50" s="253"/>
    </row>
    <row r="51" spans="1:10" outlineLevel="2">
      <c r="A51" s="128" t="s">
        <v>84</v>
      </c>
      <c r="B51" s="128" t="s">
        <v>124</v>
      </c>
      <c r="C51" s="36">
        <v>2031300000</v>
      </c>
      <c r="D51" s="36">
        <v>6000</v>
      </c>
      <c r="E51" s="35" t="s">
        <v>281</v>
      </c>
      <c r="F51" s="27">
        <f>SUMPRODUCT((ANSC!$A$3:$A$2399=CONCATENATE(D51,C51))*(ANSC!$K$1:$V$1=$F$5),ANSC!$K$3:$V$2399)</f>
        <v>-13576.72</v>
      </c>
      <c r="J51" s="253"/>
    </row>
    <row r="52" spans="1:10" outlineLevel="2">
      <c r="A52" s="128" t="s">
        <v>84</v>
      </c>
      <c r="B52" s="128" t="s">
        <v>124</v>
      </c>
      <c r="C52" s="36">
        <v>2031610000</v>
      </c>
      <c r="D52" s="36">
        <v>6000</v>
      </c>
      <c r="E52" s="35" t="s">
        <v>282</v>
      </c>
      <c r="F52" s="27">
        <f>SUMPRODUCT((ANSC!$A$3:$A$2399=CONCATENATE(D52,C52))*(ANSC!$K$1:$V$1=$F$5),ANSC!$K$3:$V$2399)</f>
        <v>-2960.24</v>
      </c>
      <c r="J52" s="253"/>
    </row>
    <row r="53" spans="1:10" outlineLevel="2">
      <c r="A53" s="128" t="s">
        <v>84</v>
      </c>
      <c r="B53" s="128" t="s">
        <v>124</v>
      </c>
      <c r="C53" s="36">
        <v>2031620000</v>
      </c>
      <c r="D53" s="36">
        <v>6000</v>
      </c>
      <c r="E53" s="35" t="s">
        <v>283</v>
      </c>
      <c r="F53" s="27">
        <f>SUMPRODUCT((ANSC!$A$3:$A$2399=CONCATENATE(D53,C53))*(ANSC!$K$1:$V$1=$F$5),ANSC!$K$3:$V$2399)</f>
        <v>-6070.52</v>
      </c>
      <c r="J53" s="253"/>
    </row>
    <row r="54" spans="1:10" outlineLevel="2">
      <c r="A54" s="128" t="s">
        <v>84</v>
      </c>
      <c r="B54" s="128" t="s">
        <v>124</v>
      </c>
      <c r="C54" s="36">
        <v>2031630000</v>
      </c>
      <c r="D54" s="36">
        <v>6000</v>
      </c>
      <c r="E54" s="35" t="s">
        <v>284</v>
      </c>
      <c r="F54" s="27">
        <f>SUMPRODUCT((ANSC!$A$3:$A$2399=CONCATENATE(D54,C54))*(ANSC!$K$1:$V$1=$F$5),ANSC!$K$3:$V$2399)</f>
        <v>-7974.4</v>
      </c>
      <c r="J54" s="253"/>
    </row>
    <row r="55" spans="1:10" outlineLevel="2">
      <c r="A55" s="128" t="s">
        <v>84</v>
      </c>
      <c r="B55" s="128" t="s">
        <v>124</v>
      </c>
      <c r="C55" s="36">
        <v>2031700000</v>
      </c>
      <c r="D55" s="36">
        <v>6000</v>
      </c>
      <c r="E55" s="35" t="s">
        <v>285</v>
      </c>
      <c r="F55" s="27">
        <f>SUMPRODUCT((ANSC!$A$3:$A$2399=CONCATENATE(D55,C55))*(ANSC!$K$1:$V$1=$F$5),ANSC!$K$3:$V$2399)</f>
        <v>-36555.14</v>
      </c>
      <c r="J55" s="253"/>
    </row>
    <row r="56" spans="1:10" outlineLevel="2">
      <c r="A56" s="128" t="s">
        <v>84</v>
      </c>
      <c r="B56" s="128" t="s">
        <v>124</v>
      </c>
      <c r="C56" s="36">
        <v>2031900000</v>
      </c>
      <c r="D56" s="36">
        <v>6000</v>
      </c>
      <c r="E56" s="35" t="s">
        <v>723</v>
      </c>
      <c r="F56" s="27">
        <f>SUMPRODUCT((ANSC!$A$3:$A$2399=CONCATENATE(D56,C56))*(ANSC!$K$1:$V$1=$F$5),ANSC!$K$3:$V$2399)</f>
        <v>0</v>
      </c>
      <c r="J56" s="253"/>
    </row>
    <row r="57" spans="1:10" outlineLevel="2">
      <c r="A57" s="128" t="s">
        <v>84</v>
      </c>
      <c r="B57" s="128" t="s">
        <v>124</v>
      </c>
      <c r="C57" s="36">
        <v>2032200000</v>
      </c>
      <c r="D57" s="36">
        <v>6000</v>
      </c>
      <c r="E57" s="36" t="s">
        <v>2599</v>
      </c>
      <c r="F57" s="27">
        <f>SUMPRODUCT((ANSC!$A$3:$A$2399=CONCATENATE(D57,C57))*(ANSC!$K$1:$V$1=$F$5),ANSC!$K$3:$V$2399)</f>
        <v>-14732.17</v>
      </c>
      <c r="J57" s="253"/>
    </row>
    <row r="58" spans="1:10" outlineLevel="2">
      <c r="A58" s="128" t="s">
        <v>84</v>
      </c>
      <c r="B58" s="128" t="s">
        <v>124</v>
      </c>
      <c r="C58" s="36">
        <v>2032300000</v>
      </c>
      <c r="D58" s="36">
        <v>6000</v>
      </c>
      <c r="E58" s="36" t="s">
        <v>2601</v>
      </c>
      <c r="F58" s="27">
        <f>SUMPRODUCT((ANSC!$A$3:$A$2399=CONCATENATE(D58,C58))*(ANSC!$K$1:$V$1=$F$5),ANSC!$K$3:$V$2399)</f>
        <v>-92317.29</v>
      </c>
      <c r="J58" s="253"/>
    </row>
    <row r="59" spans="1:10" outlineLevel="1">
      <c r="A59" s="44" t="s">
        <v>149</v>
      </c>
      <c r="B59" s="44"/>
      <c r="C59" s="35"/>
      <c r="D59" s="36"/>
      <c r="E59" s="35"/>
      <c r="F59" s="27">
        <f>SUBTOTAL(9,F35:F58)</f>
        <v>-3532295.3800000004</v>
      </c>
    </row>
    <row r="60" spans="1:10" outlineLevel="2">
      <c r="A60" s="128" t="s">
        <v>286</v>
      </c>
      <c r="B60" s="128" t="s">
        <v>287</v>
      </c>
      <c r="C60" s="35">
        <v>2002200000</v>
      </c>
      <c r="D60" s="36">
        <v>6000</v>
      </c>
      <c r="E60" s="35" t="s">
        <v>288</v>
      </c>
      <c r="F60" s="27">
        <f>SUMPRODUCT((ANSC!$A$3:$A$2399=CONCATENATE(D60,C60))*(ANSC!$K$1:$V$1=$F$5),ANSC!$K$3:$V$2399)</f>
        <v>-22942418.579999998</v>
      </c>
    </row>
    <row r="61" spans="1:10" outlineLevel="2">
      <c r="A61" s="128" t="s">
        <v>286</v>
      </c>
      <c r="B61" s="128" t="s">
        <v>289</v>
      </c>
      <c r="C61" s="35">
        <v>2002201000</v>
      </c>
      <c r="D61" s="36">
        <v>6000</v>
      </c>
      <c r="E61" s="35" t="s">
        <v>290</v>
      </c>
      <c r="F61" s="27">
        <f>SUMPRODUCT((ANSC!$A$3:$A$2399=CONCATENATE(D61,C61))*(ANSC!$K$1:$V$1=$F$5),ANSC!$K$3:$V$2399)</f>
        <v>-353370.63</v>
      </c>
    </row>
    <row r="62" spans="1:10" outlineLevel="1">
      <c r="A62" s="44" t="s">
        <v>291</v>
      </c>
      <c r="B62" s="128"/>
      <c r="C62" s="35"/>
      <c r="D62" s="36"/>
      <c r="E62" s="35"/>
      <c r="F62" s="27">
        <f>SUBTOTAL(9,F60:F61)</f>
        <v>-23295789.209999997</v>
      </c>
    </row>
    <row r="63" spans="1:10" outlineLevel="2">
      <c r="A63" s="128" t="s">
        <v>150</v>
      </c>
      <c r="B63" s="128" t="s">
        <v>150</v>
      </c>
      <c r="C63" s="35">
        <v>1311200000</v>
      </c>
      <c r="D63" s="36">
        <v>6000</v>
      </c>
      <c r="E63" s="35" t="s">
        <v>151</v>
      </c>
      <c r="F63" s="27">
        <f>SUMPRODUCT((ANSC!$A$3:$A$2399=CONCATENATE(D63,C63))*(ANSC!$K$1:$V$1=$F$5),ANSC!$K$3:$V$2399)</f>
        <v>-444645.5</v>
      </c>
      <c r="J63" s="253"/>
    </row>
    <row r="64" spans="1:10" outlineLevel="1">
      <c r="A64" s="44" t="s">
        <v>152</v>
      </c>
      <c r="B64" s="128"/>
      <c r="C64" s="35"/>
      <c r="D64" s="36"/>
      <c r="E64" s="35"/>
      <c r="F64" s="27">
        <f>SUBTOTAL(9,F63:F63)</f>
        <v>-444645.5</v>
      </c>
      <c r="J64" s="253"/>
    </row>
    <row r="65" spans="1:10" outlineLevel="2">
      <c r="A65" s="128" t="s">
        <v>292</v>
      </c>
      <c r="B65" s="128" t="s">
        <v>292</v>
      </c>
      <c r="C65" s="35">
        <v>1422200000</v>
      </c>
      <c r="D65" s="36">
        <v>6000</v>
      </c>
      <c r="E65" s="35" t="s">
        <v>293</v>
      </c>
      <c r="F65" s="27">
        <f>SUMPRODUCT((ANSC!$A$3:$A$2399=CONCATENATE(D65,C65))*(ANSC!$K$1:$V$1=$F$5),ANSC!$K$3:$V$2399)</f>
        <v>1161711.3799999999</v>
      </c>
      <c r="J65" s="253"/>
    </row>
    <row r="66" spans="1:10" outlineLevel="1">
      <c r="A66" s="44" t="s">
        <v>294</v>
      </c>
      <c r="B66" s="128"/>
      <c r="C66" s="35"/>
      <c r="D66" s="36"/>
      <c r="E66" s="35"/>
      <c r="F66" s="27">
        <f>SUBTOTAL(9,F65:F65)</f>
        <v>1161711.3799999999</v>
      </c>
      <c r="J66" s="253"/>
    </row>
    <row r="67" spans="1:10" outlineLevel="2">
      <c r="A67" s="128" t="s">
        <v>160</v>
      </c>
      <c r="B67" s="128" t="s">
        <v>160</v>
      </c>
      <c r="C67" s="420">
        <v>1301000000</v>
      </c>
      <c r="D67" s="36">
        <v>6000</v>
      </c>
      <c r="E67" s="35" t="s">
        <v>295</v>
      </c>
      <c r="F67" s="27">
        <f>SUMPRODUCT((ANSC!$A$3:$A$2399=CONCATENATE(D67,C67))*(ANSC!$K$1:$V$1=$F$5),ANSC!$K$3:$V$2399)</f>
        <v>14800</v>
      </c>
      <c r="J67" s="253"/>
    </row>
    <row r="68" spans="1:10" outlineLevel="2">
      <c r="A68" s="128" t="s">
        <v>160</v>
      </c>
      <c r="B68" s="128" t="s">
        <v>160</v>
      </c>
      <c r="C68" s="420">
        <v>1301100000</v>
      </c>
      <c r="D68" s="36">
        <v>6000</v>
      </c>
      <c r="E68" s="35" t="s">
        <v>296</v>
      </c>
      <c r="F68" s="27">
        <f>SUMPRODUCT((ANSC!$A$3:$A$2399=CONCATENATE(D68,C68))*(ANSC!$K$1:$V$1=$F$5),ANSC!$K$3:$V$2399)</f>
        <v>43585</v>
      </c>
      <c r="J68" s="253"/>
    </row>
    <row r="69" spans="1:10" outlineLevel="2">
      <c r="A69" s="128" t="s">
        <v>160</v>
      </c>
      <c r="B69" s="128" t="s">
        <v>160</v>
      </c>
      <c r="C69" s="420">
        <v>1301101000</v>
      </c>
      <c r="D69" s="36">
        <v>6000</v>
      </c>
      <c r="E69" s="35" t="s">
        <v>297</v>
      </c>
      <c r="F69" s="27">
        <f>SUMPRODUCT((ANSC!$A$3:$A$2399=CONCATENATE(D69,C69))*(ANSC!$K$1:$V$1=$F$5),ANSC!$K$3:$V$2399)</f>
        <v>0</v>
      </c>
      <c r="J69" s="253"/>
    </row>
    <row r="70" spans="1:10" outlineLevel="2">
      <c r="A70" s="128" t="s">
        <v>160</v>
      </c>
      <c r="B70" s="128" t="s">
        <v>160</v>
      </c>
      <c r="C70" s="420">
        <v>1424000000</v>
      </c>
      <c r="D70" s="36">
        <v>6000</v>
      </c>
      <c r="E70" s="35" t="s">
        <v>581</v>
      </c>
      <c r="F70" s="27">
        <f>SUMPRODUCT((ANSC!$A$3:$A$2399=CONCATENATE(D70,C70))*(ANSC!$K$1:$V$1=$F$5),ANSC!$K$3:$V$2399)</f>
        <v>0</v>
      </c>
      <c r="J70" s="253"/>
    </row>
    <row r="71" spans="1:10" outlineLevel="2">
      <c r="A71" s="128" t="s">
        <v>160</v>
      </c>
      <c r="B71" s="128" t="s">
        <v>160</v>
      </c>
      <c r="C71" s="420">
        <v>1441000000</v>
      </c>
      <c r="D71" s="36">
        <v>6000</v>
      </c>
      <c r="E71" s="35" t="s">
        <v>298</v>
      </c>
      <c r="F71" s="27">
        <f>SUMPRODUCT((ANSC!$A$3:$A$2399=CONCATENATE(D71,C71))*(ANSC!$K$1:$V$1=$F$5),ANSC!$K$3:$V$2399)</f>
        <v>84574.51</v>
      </c>
    </row>
    <row r="72" spans="1:10" outlineLevel="2">
      <c r="A72" s="128" t="s">
        <v>160</v>
      </c>
      <c r="B72" s="128" t="s">
        <v>160</v>
      </c>
      <c r="C72" s="420">
        <v>1441010000</v>
      </c>
      <c r="D72" s="36">
        <v>6000</v>
      </c>
      <c r="E72" s="35" t="s">
        <v>299</v>
      </c>
      <c r="F72" s="27">
        <f>SUMPRODUCT((ANSC!$A$3:$A$2399=CONCATENATE(D72,C72))*(ANSC!$K$1:$V$1=$F$5),ANSC!$K$3:$V$2399)</f>
        <v>0</v>
      </c>
    </row>
    <row r="73" spans="1:10" outlineLevel="2">
      <c r="A73" s="128" t="s">
        <v>160</v>
      </c>
      <c r="B73" s="128" t="s">
        <v>160</v>
      </c>
      <c r="C73" s="420">
        <v>1441100000</v>
      </c>
      <c r="D73" s="36">
        <v>6000</v>
      </c>
      <c r="E73" s="35" t="s">
        <v>300</v>
      </c>
      <c r="F73" s="27">
        <f>SUMPRODUCT((ANSC!$A$3:$A$2399=CONCATENATE(D73,C73))*(ANSC!$K$1:$V$1=$F$5),ANSC!$K$3:$V$2399)</f>
        <v>1491.04</v>
      </c>
    </row>
    <row r="74" spans="1:10" outlineLevel="2">
      <c r="A74" s="128" t="s">
        <v>160</v>
      </c>
      <c r="B74" s="128" t="s">
        <v>160</v>
      </c>
      <c r="C74" s="420">
        <v>1441200000</v>
      </c>
      <c r="D74" s="36">
        <v>6000</v>
      </c>
      <c r="E74" s="35" t="s">
        <v>678</v>
      </c>
      <c r="F74" s="27">
        <f>SUMPRODUCT((ANSC!$A$3:$A$2399=CONCATENATE(D74,C74))*(ANSC!$K$1:$V$1=$F$5),ANSC!$K$3:$V$2399)</f>
        <v>0</v>
      </c>
    </row>
    <row r="75" spans="1:10" outlineLevel="2">
      <c r="A75" s="128" t="s">
        <v>160</v>
      </c>
      <c r="B75" s="128" t="s">
        <v>160</v>
      </c>
      <c r="C75" s="35">
        <v>1460000000</v>
      </c>
      <c r="D75" s="36">
        <v>6000</v>
      </c>
      <c r="E75" s="35" t="s">
        <v>180</v>
      </c>
      <c r="F75" s="27">
        <f>SUMPRODUCT((ANSC!$A$3:$A$2399=CONCATENATE(D75,C75))*(ANSC!$K$1:$V$1=$F$5),ANSC!$K$3:$V$2399)</f>
        <v>-140926</v>
      </c>
    </row>
    <row r="76" spans="1:10" outlineLevel="1">
      <c r="A76" s="44" t="s">
        <v>177</v>
      </c>
      <c r="B76" s="128"/>
      <c r="C76" s="35"/>
      <c r="D76" s="36"/>
      <c r="E76" s="35"/>
      <c r="F76" s="27">
        <f>SUBTOTAL(9,F67:F75)</f>
        <v>3524.5500000000175</v>
      </c>
    </row>
    <row r="77" spans="1:10" outlineLevel="2">
      <c r="A77" s="128" t="s">
        <v>178</v>
      </c>
      <c r="B77" s="128" t="s">
        <v>178</v>
      </c>
      <c r="C77" s="35">
        <v>1421000000</v>
      </c>
      <c r="D77" s="36">
        <v>6000</v>
      </c>
      <c r="E77" s="35" t="s">
        <v>598</v>
      </c>
      <c r="F77" s="27">
        <f>SUMPRODUCT((ANSC!$A$3:$A$2399=CONCATENATE(D77,C77))*(ANSC!$K$1:$V$1=$F$5),ANSC!$K$3:$V$2399)</f>
        <v>16013521.16</v>
      </c>
      <c r="J77" s="253"/>
    </row>
    <row r="78" spans="1:10" outlineLevel="2">
      <c r="A78" s="128" t="s">
        <v>178</v>
      </c>
      <c r="B78" s="128" t="s">
        <v>178</v>
      </c>
      <c r="C78" s="35">
        <v>1451100000</v>
      </c>
      <c r="D78" s="36">
        <v>6000</v>
      </c>
      <c r="E78" s="35" t="s">
        <v>301</v>
      </c>
      <c r="F78" s="27">
        <f>SUMPRODUCT((ANSC!$A$3:$A$2399=CONCATENATE(D78,C78))*(ANSC!$K$1:$V$1=$F$5),ANSC!$K$3:$V$2399)</f>
        <v>0</v>
      </c>
      <c r="J78" s="253"/>
    </row>
    <row r="79" spans="1:10" outlineLevel="1">
      <c r="A79" s="44" t="s">
        <v>181</v>
      </c>
      <c r="B79" s="128"/>
      <c r="C79" s="35"/>
      <c r="D79" s="36"/>
      <c r="E79" s="35"/>
      <c r="F79" s="27">
        <f>SUBTOTAL(9,F77:F78)</f>
        <v>16013521.16</v>
      </c>
      <c r="J79" s="253"/>
    </row>
    <row r="80" spans="1:10" outlineLevel="2">
      <c r="A80" s="128" t="s">
        <v>185</v>
      </c>
      <c r="B80" s="128" t="s">
        <v>185</v>
      </c>
      <c r="C80" s="35">
        <v>2031200000</v>
      </c>
      <c r="D80" s="36">
        <v>6000</v>
      </c>
      <c r="E80" s="35" t="s">
        <v>302</v>
      </c>
      <c r="F80" s="27">
        <f>SUMPRODUCT((ANSC!$A$3:$A$2399=CONCATENATE(D80,C80))*(ANSC!$K$1:$V$1=$F$5),ANSC!$K$3:$V$2399)</f>
        <v>508588.5</v>
      </c>
      <c r="J80" s="253"/>
    </row>
    <row r="81" spans="1:7" outlineLevel="1">
      <c r="A81" s="44" t="s">
        <v>187</v>
      </c>
      <c r="B81" s="128"/>
      <c r="C81" s="35"/>
      <c r="D81" s="36"/>
      <c r="E81" s="35"/>
      <c r="F81" s="27">
        <f>SUBTOTAL(9,F80:F80)</f>
        <v>508588.5</v>
      </c>
    </row>
    <row r="82" spans="1:7" outlineLevel="2">
      <c r="A82" s="128" t="s">
        <v>188</v>
      </c>
      <c r="B82" s="128" t="s">
        <v>188</v>
      </c>
      <c r="C82" s="35">
        <v>2031210000</v>
      </c>
      <c r="D82" s="36">
        <v>6000</v>
      </c>
      <c r="E82" s="35" t="s">
        <v>303</v>
      </c>
      <c r="F82" s="27">
        <f>SUMPRODUCT((ANSC!$A$3:$A$2399=CONCATENATE(D82,C82))*(ANSC!$K$1:$V$1=$F$5),ANSC!$K$3:$V$2399)</f>
        <v>-2351000</v>
      </c>
    </row>
    <row r="83" spans="1:7" outlineLevel="1">
      <c r="A83" s="44" t="s">
        <v>191</v>
      </c>
      <c r="B83" s="128"/>
      <c r="C83" s="35"/>
      <c r="D83" s="36"/>
      <c r="E83" s="35"/>
      <c r="F83" s="27">
        <f>SUBTOTAL(9,F82:F82)</f>
        <v>-2351000</v>
      </c>
    </row>
    <row r="84" spans="1:7">
      <c r="A84" s="44" t="s">
        <v>192</v>
      </c>
      <c r="B84" s="128"/>
      <c r="C84" s="35"/>
      <c r="D84" s="36"/>
      <c r="E84" s="35"/>
      <c r="F84" s="27">
        <f>SUBTOTAL(9,F6:F82)</f>
        <v>-601934.14000000618</v>
      </c>
    </row>
    <row r="85" spans="1:7">
      <c r="E85" s="24"/>
      <c r="F85" s="27"/>
      <c r="G85" s="26"/>
    </row>
    <row r="86" spans="1:7">
      <c r="G86" s="26"/>
    </row>
    <row r="87" spans="1:7">
      <c r="G87" s="26"/>
    </row>
    <row r="88" spans="1:7">
      <c r="G88" s="26"/>
    </row>
    <row r="92" spans="1:7">
      <c r="B92" s="126"/>
      <c r="E92" s="11" t="str">
        <f>A13</f>
        <v>cash&amp;bank Total</v>
      </c>
      <c r="F92" s="27">
        <f>F13</f>
        <v>27132986.48</v>
      </c>
    </row>
    <row r="93" spans="1:7">
      <c r="B93" s="46"/>
      <c r="E93" s="11" t="str">
        <f>A17</f>
        <v>equity Total</v>
      </c>
      <c r="F93" s="27">
        <f>F17</f>
        <v>-34959444.359999999</v>
      </c>
    </row>
    <row r="94" spans="1:7">
      <c r="B94" s="46"/>
      <c r="C94" s="45"/>
      <c r="D94" s="116"/>
      <c r="E94" s="11" t="str">
        <f>A21</f>
        <v>fa Total</v>
      </c>
      <c r="F94" s="27">
        <f>F21</f>
        <v>11201843.539999995</v>
      </c>
    </row>
    <row r="95" spans="1:7">
      <c r="B95" s="46"/>
      <c r="C95" s="45"/>
      <c r="D95" s="116"/>
      <c r="E95" s="11" t="str">
        <f>A30</f>
        <v>Inv-metal Total</v>
      </c>
      <c r="F95" s="27">
        <f>F30</f>
        <v>6236147.2699999996</v>
      </c>
    </row>
    <row r="96" spans="1:7">
      <c r="B96" s="46"/>
      <c r="C96" s="39"/>
      <c r="D96" s="116"/>
      <c r="E96" s="11" t="str">
        <f>A34</f>
        <v>Inv-store Total</v>
      </c>
      <c r="F96" s="27">
        <f>F34</f>
        <v>1722917.4300000002</v>
      </c>
    </row>
    <row r="97" spans="1:6">
      <c r="B97" s="44"/>
      <c r="C97" s="39"/>
      <c r="D97" s="116"/>
      <c r="E97" s="11" t="str">
        <f>A59</f>
        <v>Payable Total</v>
      </c>
      <c r="F97" s="27">
        <f>F59</f>
        <v>-3532295.3800000004</v>
      </c>
    </row>
    <row r="98" spans="1:6">
      <c r="B98" s="46"/>
      <c r="C98" s="39"/>
      <c r="D98" s="116"/>
      <c r="E98" s="11" t="str">
        <f>A62</f>
        <v>Payable-alcom Total</v>
      </c>
      <c r="F98" s="27">
        <f>F62</f>
        <v>-23295789.209999997</v>
      </c>
    </row>
    <row r="99" spans="1:6">
      <c r="B99" s="46"/>
      <c r="C99" s="39"/>
      <c r="D99" s="116"/>
      <c r="E99" s="11" t="str">
        <f>A64</f>
        <v>RB Total</v>
      </c>
      <c r="F99" s="27">
        <f>F64</f>
        <v>-444645.5</v>
      </c>
    </row>
    <row r="100" spans="1:6">
      <c r="B100" s="46"/>
      <c r="C100" s="39"/>
      <c r="D100" s="116"/>
      <c r="E100" s="126" t="str">
        <f>A66</f>
        <v>Rec-G-related-alcom Total</v>
      </c>
      <c r="F100" s="27">
        <f>F66</f>
        <v>1161711.3799999999</v>
      </c>
    </row>
    <row r="101" spans="1:6">
      <c r="B101" s="44"/>
      <c r="C101" s="40"/>
      <c r="D101" s="116"/>
      <c r="E101" s="11" t="str">
        <f>A76</f>
        <v>Rec-other Total</v>
      </c>
      <c r="F101" s="27">
        <f>F76</f>
        <v>3524.5500000000175</v>
      </c>
    </row>
    <row r="102" spans="1:6">
      <c r="B102" s="44"/>
      <c r="C102" s="43"/>
      <c r="D102" s="116"/>
      <c r="E102" s="11" t="str">
        <f>A79</f>
        <v>Rec-trade Total</v>
      </c>
      <c r="F102" s="27">
        <f>F79</f>
        <v>16013521.16</v>
      </c>
    </row>
    <row r="103" spans="1:6">
      <c r="B103" s="46"/>
      <c r="C103" s="43"/>
      <c r="D103" s="116"/>
      <c r="E103" s="11" t="str">
        <f>A81</f>
        <v>tax- Current Total</v>
      </c>
      <c r="F103" s="27">
        <f>F81</f>
        <v>508588.5</v>
      </c>
    </row>
    <row r="104" spans="1:6">
      <c r="B104" s="46"/>
      <c r="C104" s="43"/>
      <c r="D104" s="116"/>
      <c r="E104" s="11" t="str">
        <f>A83</f>
        <v>tax- DeferredCurrent Total</v>
      </c>
      <c r="F104" s="27">
        <f>F83</f>
        <v>-2351000</v>
      </c>
    </row>
    <row r="105" spans="1:6">
      <c r="A105" s="116"/>
      <c r="B105" s="46"/>
      <c r="C105" s="40"/>
      <c r="D105" s="116"/>
      <c r="E105" s="46" t="s">
        <v>192</v>
      </c>
      <c r="F105" s="129">
        <f>SUM(F92:F104)</f>
        <v>-601934.1400000006</v>
      </c>
    </row>
    <row r="106" spans="1:6">
      <c r="A106" s="116"/>
      <c r="B106" s="116"/>
      <c r="C106" s="40"/>
      <c r="D106" s="116"/>
      <c r="E106" s="29"/>
      <c r="F106" s="116"/>
    </row>
    <row r="107" spans="1:6">
      <c r="A107" s="116"/>
      <c r="B107" s="116"/>
      <c r="C107" s="40"/>
      <c r="D107" s="116"/>
      <c r="E107" s="29"/>
      <c r="F107" s="116"/>
    </row>
    <row r="108" spans="1:6">
      <c r="A108" s="116"/>
      <c r="B108" s="116"/>
      <c r="C108" s="40"/>
      <c r="D108" s="116"/>
      <c r="E108" s="29"/>
      <c r="F108" s="116"/>
    </row>
    <row r="109" spans="1:6">
      <c r="A109" s="116"/>
      <c r="B109" s="116"/>
      <c r="C109" s="40"/>
      <c r="D109" s="116"/>
      <c r="E109" s="29"/>
      <c r="F109" s="116"/>
    </row>
    <row r="110" spans="1:6">
      <c r="A110" s="116"/>
      <c r="B110" s="116"/>
      <c r="C110" s="43"/>
      <c r="D110" s="116"/>
      <c r="E110" s="45"/>
      <c r="F110" s="116"/>
    </row>
    <row r="111" spans="1:6">
      <c r="A111" s="116"/>
      <c r="B111" s="116"/>
      <c r="C111" s="40"/>
      <c r="D111" s="116"/>
      <c r="E111" s="130"/>
      <c r="F111" s="116"/>
    </row>
    <row r="112" spans="1:6">
      <c r="A112" s="116"/>
      <c r="B112" s="116"/>
      <c r="C112" s="40"/>
      <c r="D112" s="116"/>
      <c r="E112" s="130"/>
      <c r="F112" s="116"/>
    </row>
    <row r="113" spans="1:6">
      <c r="A113" s="116"/>
      <c r="B113" s="116"/>
      <c r="C113" s="40"/>
      <c r="D113" s="116"/>
      <c r="E113" s="130"/>
      <c r="F113" s="116"/>
    </row>
    <row r="114" spans="1:6">
      <c r="A114" s="116"/>
      <c r="B114" s="116"/>
      <c r="C114" s="40"/>
      <c r="D114" s="116"/>
      <c r="E114" s="130"/>
      <c r="F114" s="116"/>
    </row>
    <row r="115" spans="1:6">
      <c r="A115" s="116"/>
      <c r="B115" s="116"/>
      <c r="C115" s="40"/>
      <c r="D115" s="116"/>
      <c r="E115" s="130"/>
      <c r="F115" s="116"/>
    </row>
    <row r="116" spans="1:6">
      <c r="A116" s="116"/>
      <c r="B116" s="116"/>
      <c r="C116" s="40"/>
      <c r="D116" s="116"/>
      <c r="E116" s="131"/>
      <c r="F116" s="116"/>
    </row>
    <row r="117" spans="1:6">
      <c r="A117" s="116"/>
      <c r="B117" s="116"/>
      <c r="C117" s="40"/>
      <c r="D117" s="116"/>
      <c r="E117" s="130"/>
      <c r="F117" s="116"/>
    </row>
    <row r="118" spans="1:6">
      <c r="A118" s="116"/>
      <c r="B118" s="130"/>
      <c r="C118" s="40"/>
      <c r="D118" s="116"/>
      <c r="E118" s="45"/>
      <c r="F118" s="116"/>
    </row>
    <row r="119" spans="1:6">
      <c r="A119" s="116"/>
      <c r="B119" s="116"/>
      <c r="C119" s="45"/>
      <c r="D119" s="116"/>
      <c r="E119" s="130"/>
      <c r="F119" s="116"/>
    </row>
    <row r="120" spans="1:6">
      <c r="A120" s="116"/>
      <c r="B120" s="116"/>
      <c r="C120" s="45"/>
      <c r="D120" s="116"/>
      <c r="E120" s="116"/>
      <c r="F120" s="116"/>
    </row>
    <row r="121" spans="1:6">
      <c r="A121" s="116"/>
      <c r="B121" s="116"/>
      <c r="C121" s="45"/>
      <c r="D121" s="116"/>
      <c r="E121" s="116"/>
      <c r="F121" s="116"/>
    </row>
    <row r="122" spans="1:6">
      <c r="A122" s="116"/>
      <c r="B122" s="116"/>
      <c r="C122" s="45"/>
      <c r="D122" s="116"/>
      <c r="E122" s="116"/>
      <c r="F122" s="116"/>
    </row>
    <row r="123" spans="1:6">
      <c r="A123" s="116"/>
      <c r="B123" s="116"/>
      <c r="C123" s="45"/>
      <c r="D123" s="116"/>
      <c r="E123" s="116"/>
      <c r="F123" s="116"/>
    </row>
    <row r="124" spans="1:6">
      <c r="A124" s="116"/>
      <c r="B124" s="116"/>
      <c r="C124" s="45"/>
      <c r="D124" s="116"/>
      <c r="E124" s="116"/>
      <c r="F124" s="116"/>
    </row>
    <row r="125" spans="1:6">
      <c r="A125" s="116"/>
      <c r="B125" s="116"/>
      <c r="C125" s="45"/>
      <c r="D125" s="116"/>
      <c r="E125" s="116"/>
      <c r="F125" s="116"/>
    </row>
    <row r="126" spans="1:6">
      <c r="A126" s="116"/>
      <c r="B126" s="116"/>
      <c r="C126" s="45"/>
      <c r="D126" s="116"/>
      <c r="E126" s="116"/>
      <c r="F126" s="116"/>
    </row>
    <row r="127" spans="1:6">
      <c r="A127" s="116"/>
      <c r="B127" s="116"/>
      <c r="C127" s="45"/>
      <c r="D127" s="116"/>
      <c r="E127" s="116"/>
      <c r="F127" s="116"/>
    </row>
    <row r="128" spans="1:6">
      <c r="A128" s="116"/>
      <c r="B128" s="116"/>
      <c r="C128" s="45"/>
      <c r="D128" s="116"/>
      <c r="E128" s="116"/>
      <c r="F128" s="116"/>
    </row>
    <row r="129" spans="1:6">
      <c r="A129" s="116"/>
      <c r="B129" s="116"/>
      <c r="C129" s="45"/>
      <c r="D129" s="116"/>
      <c r="E129" s="116"/>
      <c r="F129" s="116"/>
    </row>
    <row r="130" spans="1:6">
      <c r="A130" s="116"/>
      <c r="B130" s="116"/>
      <c r="C130" s="45"/>
      <c r="D130" s="116"/>
      <c r="E130" s="116"/>
      <c r="F130" s="116"/>
    </row>
    <row r="131" spans="1:6">
      <c r="A131" s="116"/>
      <c r="B131" s="116"/>
      <c r="C131" s="45"/>
      <c r="D131" s="116"/>
      <c r="E131" s="116"/>
      <c r="F131" s="116"/>
    </row>
    <row r="132" spans="1:6">
      <c r="A132" s="116"/>
      <c r="B132" s="116"/>
      <c r="C132" s="45"/>
      <c r="D132" s="116"/>
      <c r="E132" s="116"/>
      <c r="F132" s="116"/>
    </row>
    <row r="133" spans="1:6">
      <c r="A133" s="116"/>
      <c r="B133" s="116"/>
      <c r="C133" s="45"/>
      <c r="D133" s="116"/>
      <c r="E133" s="116"/>
      <c r="F133" s="116"/>
    </row>
    <row r="134" spans="1:6">
      <c r="A134" s="116"/>
      <c r="B134" s="116"/>
      <c r="C134" s="45"/>
      <c r="D134" s="116"/>
      <c r="E134" s="116"/>
      <c r="F134" s="116"/>
    </row>
    <row r="135" spans="1:6">
      <c r="A135" s="116"/>
      <c r="B135" s="116"/>
      <c r="C135" s="45"/>
      <c r="D135" s="116"/>
      <c r="E135" s="116"/>
      <c r="F135" s="116"/>
    </row>
    <row r="136" spans="1:6">
      <c r="A136" s="116"/>
      <c r="B136" s="116"/>
      <c r="C136" s="45"/>
      <c r="D136" s="116"/>
      <c r="E136" s="116"/>
      <c r="F136" s="116"/>
    </row>
    <row r="137" spans="1:6">
      <c r="A137" s="116"/>
      <c r="B137" s="116"/>
      <c r="C137" s="45"/>
      <c r="D137" s="116"/>
      <c r="E137" s="116"/>
      <c r="F137" s="116"/>
    </row>
    <row r="138" spans="1:6">
      <c r="A138" s="116"/>
      <c r="B138" s="116"/>
      <c r="C138" s="45"/>
      <c r="D138" s="116"/>
      <c r="E138" s="116"/>
      <c r="F138" s="116"/>
    </row>
    <row r="139" spans="1:6">
      <c r="A139" s="116"/>
      <c r="B139" s="116"/>
      <c r="C139" s="45"/>
      <c r="D139" s="116"/>
      <c r="E139" s="116"/>
      <c r="F139" s="116"/>
    </row>
    <row r="140" spans="1:6">
      <c r="A140" s="116"/>
      <c r="B140" s="116"/>
      <c r="C140" s="45"/>
      <c r="D140" s="116"/>
      <c r="E140" s="116"/>
      <c r="F140" s="116"/>
    </row>
    <row r="141" spans="1:6">
      <c r="A141" s="116"/>
      <c r="B141" s="116"/>
      <c r="C141" s="45"/>
      <c r="D141" s="116"/>
      <c r="E141" s="116"/>
      <c r="F141" s="116"/>
    </row>
    <row r="142" spans="1:6">
      <c r="A142" s="116"/>
      <c r="B142" s="116"/>
      <c r="C142" s="45"/>
      <c r="D142" s="116"/>
      <c r="E142" s="116"/>
      <c r="F142" s="116"/>
    </row>
    <row r="143" spans="1:6">
      <c r="A143" s="116"/>
      <c r="B143" s="116"/>
      <c r="C143" s="45"/>
      <c r="D143" s="116"/>
      <c r="E143" s="116"/>
      <c r="F143" s="116"/>
    </row>
    <row r="144" spans="1:6">
      <c r="A144" s="116"/>
      <c r="B144" s="116"/>
      <c r="C144" s="45"/>
      <c r="D144" s="116"/>
      <c r="E144" s="116"/>
      <c r="F144" s="116"/>
    </row>
    <row r="145" spans="1:6">
      <c r="A145" s="116"/>
      <c r="B145" s="116"/>
      <c r="C145" s="45"/>
      <c r="D145" s="116"/>
      <c r="E145" s="116"/>
      <c r="F145" s="116"/>
    </row>
    <row r="146" spans="1:6">
      <c r="A146" s="116"/>
      <c r="B146" s="116"/>
      <c r="C146" s="45"/>
      <c r="D146" s="116"/>
      <c r="E146" s="116"/>
      <c r="F146" s="116"/>
    </row>
    <row r="147" spans="1:6">
      <c r="A147" s="116"/>
      <c r="B147" s="116"/>
      <c r="C147" s="45"/>
      <c r="D147" s="116"/>
      <c r="E147" s="116"/>
      <c r="F147" s="116"/>
    </row>
    <row r="148" spans="1:6">
      <c r="A148" s="116"/>
      <c r="B148" s="116"/>
      <c r="C148" s="45"/>
      <c r="D148" s="116"/>
      <c r="E148" s="116"/>
      <c r="F148" s="116"/>
    </row>
    <row r="149" spans="1:6">
      <c r="A149" s="116"/>
      <c r="B149" s="116"/>
      <c r="C149" s="45"/>
      <c r="D149" s="116"/>
      <c r="E149" s="116"/>
      <c r="F149" s="116"/>
    </row>
    <row r="150" spans="1:6">
      <c r="A150" s="116"/>
      <c r="B150" s="116"/>
      <c r="C150" s="45"/>
      <c r="D150" s="116"/>
      <c r="E150" s="116"/>
      <c r="F150" s="116"/>
    </row>
    <row r="151" spans="1:6">
      <c r="A151" s="116"/>
      <c r="B151" s="116"/>
      <c r="C151" s="45"/>
      <c r="D151" s="116"/>
      <c r="E151" s="116"/>
      <c r="F151" s="116"/>
    </row>
    <row r="152" spans="1:6">
      <c r="A152" s="116"/>
      <c r="B152" s="116"/>
      <c r="C152" s="45"/>
      <c r="D152" s="116"/>
      <c r="E152" s="116"/>
      <c r="F152" s="116"/>
    </row>
    <row r="153" spans="1:6">
      <c r="A153" s="116"/>
      <c r="B153" s="116"/>
      <c r="C153" s="45"/>
      <c r="D153" s="116"/>
      <c r="E153" s="116"/>
      <c r="F153" s="116"/>
    </row>
    <row r="154" spans="1:6">
      <c r="A154" s="116"/>
      <c r="B154" s="116"/>
      <c r="C154" s="45"/>
      <c r="D154" s="116"/>
      <c r="E154" s="116"/>
      <c r="F154" s="116"/>
    </row>
    <row r="155" spans="1:6">
      <c r="A155" s="116"/>
      <c r="B155" s="116"/>
      <c r="C155" s="45"/>
      <c r="D155" s="116"/>
      <c r="E155" s="116"/>
      <c r="F155" s="116"/>
    </row>
    <row r="156" spans="1:6">
      <c r="A156" s="116"/>
      <c r="B156" s="116"/>
      <c r="C156" s="45"/>
      <c r="D156" s="116"/>
      <c r="E156" s="116"/>
      <c r="F156" s="116"/>
    </row>
    <row r="157" spans="1:6">
      <c r="A157" s="116"/>
      <c r="B157" s="116"/>
      <c r="C157" s="45"/>
      <c r="D157" s="116"/>
      <c r="E157" s="116"/>
      <c r="F157" s="116"/>
    </row>
    <row r="158" spans="1:6">
      <c r="A158" s="116"/>
      <c r="B158" s="116"/>
      <c r="C158" s="45"/>
      <c r="D158" s="116"/>
      <c r="E158" s="116"/>
      <c r="F158" s="116"/>
    </row>
    <row r="159" spans="1:6">
      <c r="A159" s="116"/>
      <c r="B159" s="116"/>
      <c r="C159" s="45"/>
      <c r="D159" s="116"/>
      <c r="E159" s="116"/>
      <c r="F159" s="116"/>
    </row>
    <row r="160" spans="1:6">
      <c r="A160" s="116"/>
      <c r="B160" s="116"/>
      <c r="C160" s="45"/>
      <c r="D160" s="116"/>
      <c r="E160" s="116"/>
      <c r="F160" s="116"/>
    </row>
    <row r="161" spans="1:6">
      <c r="A161" s="116"/>
      <c r="B161" s="116"/>
      <c r="C161" s="45"/>
      <c r="D161" s="116"/>
      <c r="E161" s="116"/>
      <c r="F161" s="116"/>
    </row>
    <row r="162" spans="1:6">
      <c r="A162" s="116"/>
      <c r="B162" s="116"/>
      <c r="C162" s="45"/>
      <c r="D162" s="116"/>
      <c r="E162" s="116"/>
      <c r="F162" s="116"/>
    </row>
    <row r="163" spans="1:6">
      <c r="A163" s="116"/>
      <c r="B163" s="116"/>
      <c r="C163" s="45"/>
      <c r="D163" s="116"/>
      <c r="E163" s="116"/>
      <c r="F163" s="116"/>
    </row>
  </sheetData>
  <phoneticPr fontId="0" type="noConversion"/>
  <dataValidations count="1">
    <dataValidation type="list" allowBlank="1" showInputMessage="1" showErrorMessage="1" sqref="F5">
      <formula1>date</formula1>
    </dataValidation>
  </dataValidations>
  <pageMargins left="0.75" right="0.75" top="0.26" bottom="0.3" header="0.18" footer="0.19"/>
  <pageSetup paperSize="9" scale="77" orientation="portrait" horizontalDpi="1200" verticalDpi="1200" r:id="rId1"/>
  <headerFooter alignWithMargins="0">
    <oddFooter>&amp;L&amp;D&amp;F&amp;A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1" enableFormatConditionsCalculation="0">
    <tabColor rgb="FFFFC000"/>
  </sheetPr>
  <dimension ref="A1:O98"/>
  <sheetViews>
    <sheetView topLeftCell="A47" workbookViewId="0"/>
  </sheetViews>
  <sheetFormatPr defaultRowHeight="12.75"/>
  <cols>
    <col min="1" max="1" width="13.28515625" style="82" bestFit="1" customWidth="1"/>
    <col min="2" max="2" width="36.28515625" customWidth="1"/>
    <col min="3" max="3" width="3.7109375" customWidth="1"/>
    <col min="4" max="4" width="16.42578125" style="48" customWidth="1"/>
    <col min="5" max="5" width="15.7109375" style="50" bestFit="1" customWidth="1"/>
    <col min="6" max="6" width="15.7109375" style="50" customWidth="1"/>
    <col min="7" max="7" width="13.85546875" style="121" bestFit="1" customWidth="1"/>
    <col min="8" max="8" width="14.7109375" style="121" customWidth="1"/>
    <col min="9" max="9" width="14.7109375" style="132" customWidth="1"/>
    <col min="10" max="10" width="14.7109375" style="116" customWidth="1"/>
    <col min="11" max="11" width="10.140625" style="116" customWidth="1"/>
    <col min="12" max="12" width="12.140625" style="116" customWidth="1"/>
    <col min="13" max="15" width="9.140625" style="116"/>
  </cols>
  <sheetData>
    <row r="1" spans="1:12">
      <c r="B1" s="28" t="s">
        <v>253</v>
      </c>
      <c r="C1" s="28"/>
    </row>
    <row r="2" spans="1:12">
      <c r="B2" s="444" t="s">
        <v>2626</v>
      </c>
      <c r="C2" s="54"/>
      <c r="E2" s="55"/>
      <c r="F2" s="55"/>
      <c r="G2" s="93"/>
    </row>
    <row r="3" spans="1:12">
      <c r="A3" s="167">
        <v>40633</v>
      </c>
      <c r="D3" s="58"/>
      <c r="E3" s="88"/>
      <c r="F3" s="88"/>
      <c r="G3" s="133"/>
      <c r="H3" s="134"/>
      <c r="I3" s="135"/>
    </row>
    <row r="4" spans="1:12">
      <c r="A4" s="136" t="s">
        <v>253</v>
      </c>
      <c r="D4" s="63" t="s">
        <v>304</v>
      </c>
      <c r="E4" s="137" t="s">
        <v>305</v>
      </c>
      <c r="F4" s="65" t="s">
        <v>196</v>
      </c>
      <c r="G4" s="63" t="s">
        <v>304</v>
      </c>
      <c r="H4" s="134"/>
      <c r="I4" s="134"/>
      <c r="J4" s="138"/>
    </row>
    <row r="5" spans="1:12">
      <c r="A5" s="136" t="s">
        <v>197</v>
      </c>
      <c r="D5" s="58" t="s">
        <v>197</v>
      </c>
      <c r="E5" s="66"/>
      <c r="F5" s="66"/>
      <c r="G5" s="134"/>
      <c r="H5" s="134"/>
      <c r="I5" s="139"/>
    </row>
    <row r="7" spans="1:12">
      <c r="A7" s="405">
        <v>11390602.539999995</v>
      </c>
      <c r="B7" t="s">
        <v>198</v>
      </c>
      <c r="C7">
        <v>1</v>
      </c>
      <c r="D7" s="140">
        <f>+'ANSC-TB'!F94</f>
        <v>11201843.539999995</v>
      </c>
      <c r="E7" s="102"/>
      <c r="F7" s="102"/>
      <c r="G7" s="191">
        <f>SUM(D7:F7)</f>
        <v>11201843.539999995</v>
      </c>
      <c r="H7"/>
      <c r="I7" s="116"/>
      <c r="J7" s="141"/>
      <c r="K7" s="141"/>
    </row>
    <row r="8" spans="1:12">
      <c r="D8" s="140"/>
      <c r="E8" s="102"/>
      <c r="F8" s="102"/>
      <c r="G8" s="56"/>
      <c r="H8"/>
      <c r="I8" s="116"/>
      <c r="J8" s="141"/>
      <c r="K8" s="141"/>
      <c r="L8" s="93"/>
    </row>
    <row r="9" spans="1:12">
      <c r="B9" t="s">
        <v>306</v>
      </c>
      <c r="C9">
        <v>2</v>
      </c>
      <c r="D9" s="140"/>
      <c r="E9" s="102"/>
      <c r="F9" s="102"/>
      <c r="G9" s="56">
        <f>-A9+E9</f>
        <v>0</v>
      </c>
      <c r="H9" s="74">
        <f>SUM(G9:G12)</f>
        <v>0</v>
      </c>
      <c r="I9" s="116"/>
      <c r="J9" s="141"/>
      <c r="K9" s="141"/>
      <c r="L9" s="93"/>
    </row>
    <row r="10" spans="1:12">
      <c r="D10" s="140"/>
      <c r="E10" s="102"/>
      <c r="F10" s="102"/>
      <c r="G10" s="56"/>
      <c r="H10" s="74"/>
      <c r="I10" s="116"/>
      <c r="J10" s="141"/>
      <c r="K10" s="141"/>
      <c r="L10" s="93"/>
    </row>
    <row r="11" spans="1:12">
      <c r="B11" t="s">
        <v>201</v>
      </c>
      <c r="C11">
        <v>3</v>
      </c>
      <c r="D11" s="140"/>
      <c r="E11" s="102"/>
      <c r="F11" s="102"/>
      <c r="G11" s="56"/>
      <c r="H11"/>
      <c r="I11" s="116"/>
      <c r="J11" s="141"/>
      <c r="K11" s="141"/>
      <c r="L11" s="93"/>
    </row>
    <row r="12" spans="1:12">
      <c r="D12" s="140"/>
      <c r="E12" s="102"/>
      <c r="F12" s="102"/>
      <c r="G12" s="56">
        <f>-A12+E12</f>
        <v>0</v>
      </c>
      <c r="H12"/>
      <c r="I12" s="116"/>
      <c r="J12" s="141"/>
      <c r="K12" s="141"/>
      <c r="L12" s="93"/>
    </row>
    <row r="13" spans="1:12">
      <c r="D13" s="140"/>
      <c r="E13" s="102"/>
      <c r="F13" s="102"/>
      <c r="G13" s="56"/>
      <c r="H13" s="74"/>
      <c r="I13" s="116"/>
      <c r="J13" s="141"/>
      <c r="K13" s="141"/>
      <c r="L13" s="93"/>
    </row>
    <row r="14" spans="1:12" hidden="1">
      <c r="B14" t="s">
        <v>307</v>
      </c>
      <c r="D14" s="140"/>
      <c r="E14" s="102"/>
      <c r="F14" s="102"/>
      <c r="G14" s="56"/>
      <c r="H14" s="74"/>
      <c r="I14" s="116"/>
      <c r="J14" s="141"/>
      <c r="K14" s="141"/>
      <c r="L14" s="93"/>
    </row>
    <row r="15" spans="1:12" hidden="1">
      <c r="B15" t="s">
        <v>308</v>
      </c>
      <c r="D15" s="140"/>
      <c r="E15" s="102"/>
      <c r="F15" s="102"/>
      <c r="G15" s="56"/>
      <c r="H15"/>
      <c r="I15" s="116"/>
      <c r="J15" s="85"/>
      <c r="K15" s="141"/>
      <c r="L15" s="93"/>
    </row>
    <row r="16" spans="1:12" hidden="1">
      <c r="D16" s="140"/>
      <c r="E16" s="102"/>
      <c r="F16" s="102"/>
      <c r="G16" s="56"/>
      <c r="H16"/>
      <c r="I16" s="116"/>
      <c r="J16" s="142"/>
      <c r="K16" s="141"/>
      <c r="L16" s="93"/>
    </row>
    <row r="17" spans="1:12" hidden="1">
      <c r="B17" t="s">
        <v>202</v>
      </c>
      <c r="D17" s="140"/>
      <c r="E17" s="102"/>
      <c r="F17" s="102"/>
      <c r="G17" s="56"/>
      <c r="H17"/>
      <c r="I17" s="143"/>
      <c r="J17" s="144"/>
      <c r="K17" s="141"/>
    </row>
    <row r="18" spans="1:12" hidden="1">
      <c r="D18" s="140"/>
      <c r="E18" s="102"/>
      <c r="F18" s="102"/>
      <c r="G18" s="56" t="e">
        <f>-#REF!+E18</f>
        <v>#REF!</v>
      </c>
      <c r="H18" s="74"/>
      <c r="I18" s="143"/>
      <c r="J18" s="85"/>
      <c r="K18" s="141"/>
      <c r="L18" s="93"/>
    </row>
    <row r="19" spans="1:12">
      <c r="B19" t="s">
        <v>203</v>
      </c>
      <c r="D19" s="140"/>
      <c r="E19" s="102"/>
      <c r="F19" s="102"/>
      <c r="G19" s="56"/>
      <c r="H19"/>
      <c r="I19" s="143"/>
      <c r="J19" s="85"/>
      <c r="K19" s="141"/>
      <c r="L19" s="93"/>
    </row>
    <row r="20" spans="1:12">
      <c r="A20" s="405">
        <v>7462094.7300000004</v>
      </c>
      <c r="B20" t="s">
        <v>204</v>
      </c>
      <c r="C20">
        <v>4</v>
      </c>
      <c r="D20" s="140">
        <f>+'ANSC-TB'!F96+'ANSC-TB'!F95</f>
        <v>7959064.6999999993</v>
      </c>
      <c r="E20" s="102"/>
      <c r="F20" s="102"/>
      <c r="G20" s="191">
        <f t="shared" ref="G20:G30" si="0">SUM(D20:F20)</f>
        <v>7959064.6999999993</v>
      </c>
      <c r="H20"/>
      <c r="I20" s="143"/>
      <c r="J20" s="85"/>
      <c r="K20" s="141"/>
      <c r="L20" s="93"/>
    </row>
    <row r="21" spans="1:12">
      <c r="A21" s="405">
        <v>15163309.810000001</v>
      </c>
      <c r="B21" t="s">
        <v>205</v>
      </c>
      <c r="C21">
        <v>5</v>
      </c>
      <c r="D21" s="140">
        <f>+'ANSC-TB'!F102</f>
        <v>16013521.16</v>
      </c>
      <c r="E21" s="102"/>
      <c r="F21" s="102"/>
      <c r="G21" s="191">
        <f t="shared" si="0"/>
        <v>16013521.16</v>
      </c>
      <c r="H21"/>
      <c r="I21" s="116"/>
      <c r="J21" s="145"/>
      <c r="K21" s="141"/>
    </row>
    <row r="22" spans="1:12">
      <c r="A22" s="405">
        <v>210338.3</v>
      </c>
      <c r="B22" t="s">
        <v>206</v>
      </c>
      <c r="C22">
        <v>5</v>
      </c>
      <c r="D22" s="140">
        <f>+'ANSC-TB'!F101</f>
        <v>3524.5500000000175</v>
      </c>
      <c r="E22" s="419">
        <f>-E30</f>
        <v>0</v>
      </c>
      <c r="F22" s="102"/>
      <c r="G22" s="191">
        <f t="shared" si="0"/>
        <v>3524.5500000000175</v>
      </c>
      <c r="H22" s="74">
        <f>+G22+G21</f>
        <v>16017045.710000001</v>
      </c>
      <c r="I22" s="116"/>
      <c r="J22" s="85"/>
      <c r="K22" s="141"/>
      <c r="L22" s="93"/>
    </row>
    <row r="23" spans="1:12">
      <c r="A23" s="405">
        <v>1199634.0900000001</v>
      </c>
      <c r="B23" s="37" t="s">
        <v>207</v>
      </c>
      <c r="C23" s="37">
        <v>5</v>
      </c>
      <c r="D23" s="146">
        <f>+'ANSC-TB'!F100</f>
        <v>1161711.3799999999</v>
      </c>
      <c r="E23" s="102"/>
      <c r="F23" s="102"/>
      <c r="G23" s="191">
        <f t="shared" si="0"/>
        <v>1161711.3799999999</v>
      </c>
      <c r="H23" s="74"/>
      <c r="I23" s="116"/>
      <c r="K23" s="141"/>
    </row>
    <row r="24" spans="1:12">
      <c r="A24" s="82">
        <v>0</v>
      </c>
      <c r="B24" s="37" t="s">
        <v>208</v>
      </c>
      <c r="C24" s="37">
        <v>5</v>
      </c>
      <c r="D24" s="140"/>
      <c r="E24" s="102"/>
      <c r="F24" s="102"/>
      <c r="G24" s="191">
        <f t="shared" si="0"/>
        <v>0</v>
      </c>
      <c r="H24"/>
      <c r="I24" s="116"/>
      <c r="J24" s="93"/>
      <c r="K24" s="141"/>
    </row>
    <row r="25" spans="1:12">
      <c r="A25" s="82">
        <v>0</v>
      </c>
      <c r="B25" s="37" t="s">
        <v>209</v>
      </c>
      <c r="C25" s="37">
        <v>5</v>
      </c>
      <c r="D25" s="140"/>
      <c r="E25" s="102"/>
      <c r="F25" s="102"/>
      <c r="G25" s="191">
        <f t="shared" si="0"/>
        <v>0</v>
      </c>
      <c r="H25"/>
      <c r="I25" s="116"/>
      <c r="J25" s="141"/>
      <c r="K25" s="141"/>
      <c r="L25" s="93"/>
    </row>
    <row r="26" spans="1:12">
      <c r="A26" s="82">
        <v>0</v>
      </c>
      <c r="B26" s="37" t="s">
        <v>210</v>
      </c>
      <c r="C26" s="37"/>
      <c r="D26" s="140"/>
      <c r="E26" s="102"/>
      <c r="F26" s="102"/>
      <c r="G26" s="191">
        <f t="shared" si="0"/>
        <v>0</v>
      </c>
      <c r="H26"/>
      <c r="I26" s="116"/>
      <c r="J26" s="141"/>
      <c r="K26" s="141"/>
      <c r="L26" s="93"/>
    </row>
    <row r="27" spans="1:12">
      <c r="A27" s="405">
        <v>0</v>
      </c>
      <c r="B27" t="s">
        <v>211</v>
      </c>
      <c r="C27">
        <v>5</v>
      </c>
      <c r="D27" s="140"/>
      <c r="E27" s="102"/>
      <c r="F27" s="102"/>
      <c r="G27" s="191">
        <f t="shared" si="0"/>
        <v>0</v>
      </c>
      <c r="H27"/>
      <c r="I27" s="116"/>
      <c r="J27" s="141"/>
      <c r="K27" s="141"/>
      <c r="L27" s="93"/>
    </row>
    <row r="28" spans="1:12">
      <c r="A28" s="405">
        <v>0</v>
      </c>
      <c r="B28" t="s">
        <v>212</v>
      </c>
      <c r="C28">
        <v>5</v>
      </c>
      <c r="D28" s="146"/>
      <c r="E28" s="102"/>
      <c r="F28" s="102"/>
      <c r="G28" s="191">
        <f t="shared" si="0"/>
        <v>0</v>
      </c>
      <c r="H28" s="74">
        <f>SUM(G23:G28)</f>
        <v>1161711.3799999999</v>
      </c>
      <c r="I28" s="116"/>
      <c r="J28" s="141"/>
      <c r="K28" s="141"/>
      <c r="L28" s="93"/>
    </row>
    <row r="29" spans="1:12">
      <c r="A29" s="405">
        <v>448588.5</v>
      </c>
      <c r="B29" t="s">
        <v>802</v>
      </c>
      <c r="D29" s="140">
        <f>+'ANSC-TB'!F103</f>
        <v>508588.5</v>
      </c>
      <c r="E29" s="102"/>
      <c r="F29" s="102"/>
      <c r="G29" s="191">
        <f>SUM(D29:F29)</f>
        <v>508588.5</v>
      </c>
      <c r="H29" s="74"/>
      <c r="I29" s="116"/>
      <c r="J29" s="141"/>
      <c r="K29" s="141"/>
      <c r="L29" s="93"/>
    </row>
    <row r="30" spans="1:12">
      <c r="A30" s="82">
        <v>27436457.800000001</v>
      </c>
      <c r="B30" t="s">
        <v>213</v>
      </c>
      <c r="C30">
        <v>6</v>
      </c>
      <c r="D30" s="140">
        <f>+'ANSC-TB'!F92</f>
        <v>27132986.48</v>
      </c>
      <c r="E30" s="419"/>
      <c r="F30" s="102"/>
      <c r="G30" s="191">
        <f t="shared" si="0"/>
        <v>27132986.48</v>
      </c>
      <c r="H30" s="74"/>
      <c r="I30" s="116"/>
      <c r="J30" s="141"/>
      <c r="K30" s="141"/>
    </row>
    <row r="31" spans="1:12">
      <c r="A31" s="405"/>
      <c r="D31" s="140"/>
      <c r="E31" s="102"/>
      <c r="F31" s="102"/>
      <c r="G31" s="191"/>
      <c r="H31"/>
      <c r="I31" s="143"/>
      <c r="J31" s="93"/>
      <c r="K31" s="93"/>
    </row>
    <row r="32" spans="1:12">
      <c r="A32" s="1">
        <f>SUM(A20:A31)</f>
        <v>51920423.230000004</v>
      </c>
      <c r="D32" s="147">
        <f>SUM(D20:D31)</f>
        <v>52779396.769999996</v>
      </c>
      <c r="E32" s="148">
        <f>SUM(E20:E31)</f>
        <v>0</v>
      </c>
      <c r="F32" s="148"/>
      <c r="G32" s="147">
        <f>SUM(G20:G31)</f>
        <v>52779396.769999996</v>
      </c>
      <c r="H32"/>
      <c r="I32" s="143"/>
      <c r="J32" s="141"/>
      <c r="K32" s="141"/>
      <c r="L32" s="93"/>
    </row>
    <row r="33" spans="1:15">
      <c r="D33" s="140"/>
      <c r="E33" s="102"/>
      <c r="F33" s="102"/>
      <c r="G33" s="56"/>
      <c r="H33"/>
      <c r="I33" s="143"/>
      <c r="J33" s="141"/>
      <c r="K33" s="141"/>
      <c r="L33" s="93"/>
    </row>
    <row r="34" spans="1:15">
      <c r="B34" t="s">
        <v>214</v>
      </c>
      <c r="D34" s="140"/>
      <c r="E34" s="102"/>
      <c r="F34" s="102"/>
      <c r="G34" s="56"/>
      <c r="H34" s="82"/>
      <c r="I34" s="143"/>
      <c r="J34" s="141"/>
      <c r="K34" s="141"/>
      <c r="L34" s="93"/>
    </row>
    <row r="35" spans="1:15">
      <c r="A35" s="405">
        <v>2224269.4399999995</v>
      </c>
      <c r="B35" t="s">
        <v>215</v>
      </c>
      <c r="C35">
        <v>7</v>
      </c>
      <c r="D35" s="140">
        <f>-+'ANSC-TB'!F97</f>
        <v>3532295.3800000004</v>
      </c>
      <c r="E35" s="102"/>
      <c r="F35" s="102"/>
      <c r="G35" s="191">
        <f t="shared" ref="G35:G42" si="1">SUM(D35:F35)</f>
        <v>3532295.3800000004</v>
      </c>
      <c r="H35" s="53"/>
      <c r="I35" s="116"/>
      <c r="J35" s="145"/>
      <c r="K35" s="141"/>
    </row>
    <row r="36" spans="1:15">
      <c r="A36" s="405">
        <v>1619470.8900000001</v>
      </c>
      <c r="B36" t="s">
        <v>216</v>
      </c>
      <c r="C36">
        <v>7</v>
      </c>
      <c r="D36" s="140"/>
      <c r="E36" s="102"/>
      <c r="F36" s="102"/>
      <c r="G36" s="191">
        <f t="shared" si="1"/>
        <v>0</v>
      </c>
      <c r="H36" s="74">
        <f>+G36+G35</f>
        <v>3532295.3800000004</v>
      </c>
      <c r="I36" s="116"/>
      <c r="J36" s="141"/>
      <c r="K36" s="141"/>
      <c r="L36" s="93"/>
    </row>
    <row r="37" spans="1:15">
      <c r="A37" s="405">
        <v>21739195.580000002</v>
      </c>
      <c r="B37" s="37" t="s">
        <v>217</v>
      </c>
      <c r="C37" s="37">
        <v>7</v>
      </c>
      <c r="D37" s="140">
        <f>-'ANSC-TB'!F98</f>
        <v>23295789.209999997</v>
      </c>
      <c r="E37" s="102"/>
      <c r="F37" s="102"/>
      <c r="G37" s="191">
        <f t="shared" si="1"/>
        <v>23295789.209999997</v>
      </c>
      <c r="H37" s="74"/>
      <c r="I37" s="116"/>
      <c r="J37" s="93"/>
      <c r="K37" s="141"/>
      <c r="L37" s="93"/>
    </row>
    <row r="38" spans="1:15">
      <c r="A38" s="82">
        <v>0</v>
      </c>
      <c r="B38" s="37" t="s">
        <v>218</v>
      </c>
      <c r="C38" s="37">
        <v>7</v>
      </c>
      <c r="D38" s="140"/>
      <c r="E38" s="102"/>
      <c r="F38" s="102"/>
      <c r="G38" s="191">
        <f t="shared" si="1"/>
        <v>0</v>
      </c>
      <c r="H38" s="53"/>
      <c r="I38" s="116"/>
      <c r="J38" s="93"/>
      <c r="K38" s="141"/>
      <c r="L38" s="93"/>
    </row>
    <row r="39" spans="1:15">
      <c r="A39" s="82">
        <v>0</v>
      </c>
      <c r="B39" s="37" t="s">
        <v>219</v>
      </c>
      <c r="C39" s="37">
        <v>7</v>
      </c>
      <c r="D39" s="140"/>
      <c r="E39" s="102"/>
      <c r="F39" s="102"/>
      <c r="G39" s="191">
        <f t="shared" si="1"/>
        <v>0</v>
      </c>
      <c r="H39" s="53"/>
      <c r="I39" s="116"/>
      <c r="J39" s="141"/>
      <c r="K39" s="141"/>
      <c r="L39" s="93"/>
    </row>
    <row r="40" spans="1:15">
      <c r="A40" s="82">
        <v>0</v>
      </c>
      <c r="B40" s="37" t="s">
        <v>220</v>
      </c>
      <c r="C40" s="37"/>
      <c r="D40" s="140"/>
      <c r="E40" s="102"/>
      <c r="F40" s="102"/>
      <c r="G40" s="191">
        <f t="shared" si="1"/>
        <v>0</v>
      </c>
      <c r="H40" s="53"/>
      <c r="I40" s="116"/>
      <c r="J40" s="141"/>
      <c r="K40" s="141"/>
      <c r="L40" s="93"/>
    </row>
    <row r="41" spans="1:15">
      <c r="A41" s="405">
        <v>0</v>
      </c>
      <c r="B41" t="s">
        <v>221</v>
      </c>
      <c r="C41">
        <v>7</v>
      </c>
      <c r="D41" s="140"/>
      <c r="E41" s="102"/>
      <c r="F41" s="102"/>
      <c r="G41" s="191">
        <f t="shared" si="1"/>
        <v>0</v>
      </c>
      <c r="H41" s="74">
        <f>SUM(G37:G41)</f>
        <v>23295789.209999997</v>
      </c>
      <c r="I41" s="116"/>
      <c r="J41" s="141"/>
      <c r="K41" s="141"/>
      <c r="L41" s="93"/>
    </row>
    <row r="42" spans="1:15">
      <c r="A42" s="82">
        <v>0</v>
      </c>
      <c r="B42" t="s">
        <v>222</v>
      </c>
      <c r="C42">
        <v>8</v>
      </c>
      <c r="D42" s="140"/>
      <c r="E42" s="102"/>
      <c r="F42" s="102"/>
      <c r="G42" s="191">
        <f t="shared" si="1"/>
        <v>0</v>
      </c>
      <c r="H42" s="74"/>
      <c r="I42" s="116"/>
      <c r="J42" s="141"/>
      <c r="K42" s="141"/>
      <c r="L42" s="93"/>
    </row>
    <row r="43" spans="1:15">
      <c r="D43" s="140"/>
      <c r="E43" s="102"/>
      <c r="F43" s="102"/>
      <c r="G43" s="56"/>
      <c r="H43" s="74"/>
      <c r="I43" s="116"/>
      <c r="J43" s="141"/>
      <c r="K43" s="141"/>
      <c r="L43" s="93"/>
    </row>
    <row r="44" spans="1:15">
      <c r="A44" s="1">
        <f>SUM(A35:A42)</f>
        <v>25582935.91</v>
      </c>
      <c r="D44" s="147">
        <f>SUM(D35:D42)</f>
        <v>26828084.589999996</v>
      </c>
      <c r="E44" s="148">
        <f>SUM(E35:E42)</f>
        <v>0</v>
      </c>
      <c r="F44" s="148"/>
      <c r="G44" s="148">
        <f>SUM(G35:G42)</f>
        <v>26828084.589999996</v>
      </c>
      <c r="H44" s="53"/>
      <c r="I44" s="116"/>
      <c r="J44" s="141"/>
      <c r="K44" s="141"/>
      <c r="L44" s="93"/>
    </row>
    <row r="45" spans="1:15" s="51" customFormat="1">
      <c r="A45" s="83"/>
      <c r="D45" s="122"/>
      <c r="E45" s="102"/>
      <c r="F45" s="102"/>
      <c r="G45" s="56"/>
      <c r="H45" s="132"/>
      <c r="I45" s="121"/>
      <c r="J45" s="93"/>
      <c r="K45" s="93"/>
      <c r="L45" s="93"/>
      <c r="M45" s="121"/>
      <c r="N45" s="121"/>
      <c r="O45" s="121"/>
    </row>
    <row r="46" spans="1:15">
      <c r="A46" s="111">
        <f>A32-A44</f>
        <v>26337487.320000004</v>
      </c>
      <c r="B46" t="s">
        <v>223</v>
      </c>
      <c r="D46" s="140">
        <f>D32-D44</f>
        <v>25951312.18</v>
      </c>
      <c r="E46" s="149">
        <f>E32-E44</f>
        <v>0</v>
      </c>
      <c r="F46" s="149"/>
      <c r="G46" s="140">
        <f>G32-G44</f>
        <v>25951312.18</v>
      </c>
      <c r="H46" s="150"/>
      <c r="I46" s="116"/>
      <c r="J46" s="141"/>
      <c r="K46" s="141"/>
      <c r="L46" s="93"/>
    </row>
    <row r="47" spans="1:15" ht="13.5" thickBot="1">
      <c r="A47" s="406">
        <f>A46+A17+A14+A9+A7+A11</f>
        <v>37728089.859999999</v>
      </c>
      <c r="D47" s="151">
        <f>D46+D17+D14+D9+D7+D11</f>
        <v>37153155.719999999</v>
      </c>
      <c r="E47" s="152">
        <f>E46+E17+E14+E9+E7+E11</f>
        <v>0</v>
      </c>
      <c r="F47" s="152"/>
      <c r="G47" s="151">
        <f>G46+G17+G14+G9+G7+G11</f>
        <v>37153155.719999999</v>
      </c>
      <c r="H47" s="150"/>
      <c r="I47" s="116"/>
      <c r="J47" s="141"/>
      <c r="K47" s="141"/>
      <c r="L47" s="93"/>
    </row>
    <row r="48" spans="1:15" ht="13.5" thickTop="1">
      <c r="D48" s="140"/>
      <c r="E48" s="102"/>
      <c r="F48" s="102"/>
      <c r="G48" s="56"/>
      <c r="H48" s="150"/>
      <c r="I48" s="116"/>
      <c r="J48" s="141"/>
      <c r="K48" s="141"/>
      <c r="L48" s="93"/>
    </row>
    <row r="49" spans="1:12">
      <c r="B49" t="s">
        <v>224</v>
      </c>
      <c r="D49" s="140"/>
      <c r="E49" s="102"/>
      <c r="F49" s="102"/>
      <c r="G49" s="56"/>
      <c r="H49" s="132"/>
      <c r="I49" s="116"/>
      <c r="J49" s="141"/>
      <c r="K49" s="141"/>
      <c r="L49" s="93"/>
    </row>
    <row r="50" spans="1:12">
      <c r="D50" s="140"/>
      <c r="E50" s="102"/>
      <c r="F50" s="102"/>
      <c r="G50" s="56"/>
      <c r="H50" s="132"/>
      <c r="I50" s="116"/>
      <c r="J50" s="141"/>
      <c r="K50" s="141"/>
      <c r="L50" s="93"/>
    </row>
    <row r="51" spans="1:12">
      <c r="A51" s="407">
        <v>12250000</v>
      </c>
      <c r="B51" t="s">
        <v>225</v>
      </c>
      <c r="C51">
        <v>9</v>
      </c>
      <c r="D51" s="140">
        <f>-'ANSC-TB'!F14</f>
        <v>12250000</v>
      </c>
      <c r="E51" s="102"/>
      <c r="F51" s="102"/>
      <c r="G51" s="191">
        <f>SUM(D51:F51)</f>
        <v>12250000</v>
      </c>
      <c r="H51" s="132"/>
      <c r="I51" s="116"/>
      <c r="J51" s="141"/>
      <c r="K51" s="141"/>
      <c r="L51" s="93"/>
    </row>
    <row r="52" spans="1:12">
      <c r="A52" s="407"/>
      <c r="D52" s="140"/>
      <c r="E52" s="102"/>
      <c r="F52" s="102"/>
      <c r="G52" s="191"/>
      <c r="H52" s="132"/>
      <c r="I52" s="116"/>
      <c r="J52" s="141"/>
      <c r="K52" s="141"/>
      <c r="L52" s="93"/>
    </row>
    <row r="53" spans="1:12">
      <c r="A53" s="407">
        <v>362500</v>
      </c>
      <c r="B53" t="s">
        <v>226</v>
      </c>
      <c r="C53">
        <v>10</v>
      </c>
      <c r="D53" s="140">
        <f>-'ANSC-TB'!F16</f>
        <v>362500</v>
      </c>
      <c r="E53" s="102"/>
      <c r="F53" s="102"/>
      <c r="G53" s="191">
        <f>SUM(D53:F53)</f>
        <v>362500</v>
      </c>
      <c r="H53" s="132"/>
      <c r="I53" s="116"/>
      <c r="J53" s="141"/>
      <c r="K53" s="141"/>
      <c r="L53" s="93"/>
    </row>
    <row r="54" spans="1:12">
      <c r="D54" s="140"/>
      <c r="E54" s="102"/>
      <c r="F54" s="102"/>
      <c r="G54" s="191"/>
      <c r="H54" s="132"/>
      <c r="I54" s="116"/>
      <c r="J54" s="141"/>
      <c r="K54" s="141"/>
      <c r="L54" s="93"/>
    </row>
    <row r="55" spans="1:12">
      <c r="B55" t="s">
        <v>227</v>
      </c>
      <c r="C55">
        <v>11</v>
      </c>
      <c r="D55" s="140"/>
      <c r="E55" s="102"/>
      <c r="F55" s="102"/>
      <c r="G55" s="191"/>
      <c r="H55" s="132"/>
      <c r="I55" s="116"/>
      <c r="J55" s="141"/>
      <c r="K55" s="141"/>
      <c r="L55" s="93"/>
    </row>
    <row r="56" spans="1:12">
      <c r="D56" s="140"/>
      <c r="E56" s="102"/>
      <c r="F56" s="102"/>
      <c r="G56" s="191"/>
      <c r="H56" s="132"/>
      <c r="I56" s="116"/>
      <c r="J56" s="141"/>
      <c r="K56" s="141"/>
      <c r="L56" s="93"/>
    </row>
    <row r="57" spans="1:12">
      <c r="A57" s="83">
        <v>22346944.359999996</v>
      </c>
      <c r="B57" t="s">
        <v>228</v>
      </c>
      <c r="C57">
        <v>12</v>
      </c>
      <c r="D57" s="140">
        <f>-'ANSC-TB'!F15</f>
        <v>22346944.359999999</v>
      </c>
      <c r="E57" s="102"/>
      <c r="F57" s="434">
        <v>0</v>
      </c>
      <c r="G57" s="191">
        <f>SUM(D57:F57)</f>
        <v>22346944.359999999</v>
      </c>
      <c r="H57" s="75">
        <f>-A57+G57</f>
        <v>0</v>
      </c>
      <c r="I57" s="116"/>
      <c r="J57" s="142"/>
      <c r="K57" s="141"/>
      <c r="L57" s="93"/>
    </row>
    <row r="58" spans="1:12">
      <c r="B58" t="s">
        <v>229</v>
      </c>
      <c r="C58">
        <v>12</v>
      </c>
      <c r="D58" s="140"/>
      <c r="E58" s="102"/>
      <c r="F58" s="83"/>
      <c r="G58" s="191"/>
      <c r="H58" s="132"/>
      <c r="I58" s="116"/>
      <c r="J58" s="142"/>
      <c r="K58" s="141"/>
      <c r="L58" s="93"/>
    </row>
    <row r="59" spans="1:12">
      <c r="B59" t="s">
        <v>230</v>
      </c>
      <c r="C59">
        <v>12</v>
      </c>
      <c r="D59" s="140"/>
      <c r="E59" s="102"/>
      <c r="F59" s="83"/>
      <c r="G59" s="191"/>
      <c r="H59" s="132"/>
      <c r="I59" s="116"/>
      <c r="J59" s="142"/>
      <c r="K59" s="141"/>
      <c r="L59" s="93"/>
    </row>
    <row r="60" spans="1:12">
      <c r="B60" t="s">
        <v>231</v>
      </c>
      <c r="C60">
        <v>12</v>
      </c>
      <c r="D60" s="140">
        <f>'ANSC-TB'!F105</f>
        <v>-601934.1400000006</v>
      </c>
      <c r="E60" s="102"/>
      <c r="F60" s="434">
        <v>0</v>
      </c>
      <c r="G60" s="191">
        <f>SUM(D60:F60)</f>
        <v>-601934.1400000006</v>
      </c>
      <c r="H60" s="132"/>
      <c r="I60" s="116"/>
      <c r="J60" s="141"/>
      <c r="K60" s="141"/>
      <c r="L60" s="93"/>
    </row>
    <row r="61" spans="1:12">
      <c r="B61" t="s">
        <v>309</v>
      </c>
      <c r="C61">
        <v>13</v>
      </c>
      <c r="D61" s="140"/>
      <c r="E61" s="102"/>
      <c r="F61" s="102"/>
      <c r="G61" s="56">
        <f>-A61+E61</f>
        <v>0</v>
      </c>
      <c r="H61" s="132"/>
      <c r="I61" s="116"/>
      <c r="J61" s="141"/>
      <c r="K61" s="141"/>
      <c r="L61" s="93"/>
    </row>
    <row r="62" spans="1:12">
      <c r="A62" s="153"/>
      <c r="D62" s="154"/>
      <c r="E62" s="155"/>
      <c r="F62" s="155"/>
      <c r="G62" s="393"/>
      <c r="H62" s="132"/>
      <c r="I62" s="116"/>
      <c r="J62" s="141"/>
      <c r="K62" s="141"/>
      <c r="L62" s="93"/>
    </row>
    <row r="63" spans="1:12">
      <c r="A63" s="408">
        <f>SUM(A51:A62)</f>
        <v>34959444.359999999</v>
      </c>
      <c r="B63" t="s">
        <v>232</v>
      </c>
      <c r="D63" s="146">
        <f>SUM(D51:D62)</f>
        <v>34357510.219999999</v>
      </c>
      <c r="E63" s="156">
        <f>SUM(E51:E62)</f>
        <v>0</v>
      </c>
      <c r="F63" s="156"/>
      <c r="G63" s="146">
        <f>SUM(G51:G62)</f>
        <v>34357510.219999999</v>
      </c>
      <c r="H63" s="132"/>
      <c r="I63" s="116"/>
      <c r="J63" s="141"/>
      <c r="K63" s="141"/>
      <c r="L63" s="93"/>
    </row>
    <row r="64" spans="1:12">
      <c r="D64" s="140"/>
      <c r="E64" s="102"/>
      <c r="F64" s="102"/>
      <c r="G64" s="56"/>
      <c r="H64" s="132"/>
      <c r="I64" s="116"/>
      <c r="J64" s="141"/>
      <c r="K64" s="141"/>
      <c r="L64" s="93"/>
    </row>
    <row r="65" spans="1:12">
      <c r="B65" t="s">
        <v>233</v>
      </c>
      <c r="C65">
        <v>14</v>
      </c>
      <c r="D65" s="140"/>
      <c r="E65" s="102"/>
      <c r="F65" s="102"/>
      <c r="G65" s="56">
        <f>-A65+E65</f>
        <v>0</v>
      </c>
      <c r="H65" s="132"/>
      <c r="I65" s="116"/>
      <c r="J65" s="93"/>
      <c r="K65" s="141"/>
      <c r="L65" s="93"/>
    </row>
    <row r="66" spans="1:12">
      <c r="D66" s="140"/>
      <c r="E66" s="102"/>
      <c r="F66" s="102"/>
      <c r="G66" s="56"/>
      <c r="H66" s="132"/>
      <c r="I66" s="116"/>
      <c r="J66" s="141"/>
      <c r="K66" s="141"/>
      <c r="L66" s="93"/>
    </row>
    <row r="67" spans="1:12">
      <c r="A67" s="405">
        <v>417645.5</v>
      </c>
      <c r="B67" t="s">
        <v>234</v>
      </c>
      <c r="C67">
        <v>15</v>
      </c>
      <c r="D67" s="140">
        <f>-'ANSC-TB'!F99</f>
        <v>444645.5</v>
      </c>
      <c r="E67" s="102"/>
      <c r="F67" s="102"/>
      <c r="G67" s="191">
        <f>SUM(D67:F67)</f>
        <v>444645.5</v>
      </c>
      <c r="H67" s="132"/>
      <c r="I67" s="116"/>
      <c r="J67" s="141"/>
      <c r="K67" s="141"/>
      <c r="L67" s="93"/>
    </row>
    <row r="68" spans="1:12">
      <c r="D68" s="140"/>
      <c r="E68" s="102"/>
      <c r="F68" s="102"/>
      <c r="G68" s="56"/>
      <c r="H68" s="132"/>
      <c r="I68" s="116"/>
      <c r="J68" s="141"/>
      <c r="K68" s="141"/>
      <c r="L68" s="93"/>
    </row>
    <row r="69" spans="1:12">
      <c r="B69" t="s">
        <v>235</v>
      </c>
      <c r="C69">
        <v>16</v>
      </c>
      <c r="D69" s="140"/>
      <c r="E69" s="102"/>
      <c r="F69" s="102"/>
      <c r="G69" s="56">
        <f>-A69+E69</f>
        <v>0</v>
      </c>
      <c r="H69" s="132"/>
      <c r="I69" s="116"/>
      <c r="J69" s="141"/>
      <c r="K69" s="141"/>
      <c r="L69" s="93"/>
    </row>
    <row r="70" spans="1:12">
      <c r="D70" s="140"/>
      <c r="E70" s="102"/>
      <c r="F70" s="102"/>
      <c r="G70" s="56"/>
      <c r="H70" s="132"/>
      <c r="I70" s="116"/>
      <c r="J70" s="141"/>
      <c r="K70" s="141"/>
      <c r="L70" s="93"/>
    </row>
    <row r="71" spans="1:12">
      <c r="B71" s="98" t="s">
        <v>236</v>
      </c>
      <c r="C71" s="99">
        <v>17</v>
      </c>
      <c r="D71" s="140"/>
      <c r="E71" s="102"/>
      <c r="F71" s="102"/>
      <c r="G71" s="56">
        <f>-A71+E71</f>
        <v>0</v>
      </c>
      <c r="H71" s="132"/>
      <c r="I71" s="116"/>
      <c r="J71" s="141"/>
      <c r="K71" s="141"/>
      <c r="L71" s="93"/>
    </row>
    <row r="72" spans="1:12">
      <c r="D72" s="140"/>
      <c r="E72" s="102"/>
      <c r="F72" s="102"/>
      <c r="G72" s="56"/>
      <c r="H72" s="132"/>
      <c r="I72" s="116"/>
      <c r="J72" s="141"/>
      <c r="K72" s="141"/>
      <c r="L72" s="93"/>
    </row>
    <row r="73" spans="1:12">
      <c r="A73" s="405">
        <v>2351000</v>
      </c>
      <c r="B73" t="s">
        <v>237</v>
      </c>
      <c r="C73">
        <v>18</v>
      </c>
      <c r="D73" s="140">
        <f>-'ANSC-TB'!F104</f>
        <v>2351000</v>
      </c>
      <c r="E73" s="102"/>
      <c r="F73" s="102"/>
      <c r="G73" s="191">
        <f>SUM(D73:F73)</f>
        <v>2351000</v>
      </c>
      <c r="H73" s="132"/>
      <c r="I73" s="116"/>
      <c r="J73" s="141"/>
      <c r="K73" s="141"/>
      <c r="L73" s="157"/>
    </row>
    <row r="74" spans="1:12">
      <c r="D74" s="140"/>
      <c r="E74" s="102"/>
      <c r="F74" s="102"/>
      <c r="G74" s="56"/>
      <c r="H74" s="158"/>
      <c r="I74" s="116"/>
      <c r="J74" s="141"/>
      <c r="K74" s="141"/>
      <c r="L74" s="93"/>
    </row>
    <row r="75" spans="1:12">
      <c r="D75" s="140"/>
      <c r="E75" s="102"/>
      <c r="F75" s="102"/>
      <c r="G75" s="56"/>
      <c r="H75" s="132"/>
      <c r="I75" s="116"/>
      <c r="J75" s="141"/>
      <c r="K75" s="141"/>
      <c r="L75" s="93"/>
    </row>
    <row r="76" spans="1:12" ht="13.5" thickBot="1">
      <c r="A76" s="406">
        <f>SUM(A63:A75)</f>
        <v>37728089.859999999</v>
      </c>
      <c r="D76" s="151">
        <f>SUM(D63:D75)</f>
        <v>37153155.719999999</v>
      </c>
      <c r="E76" s="152">
        <f>SUM(E63:E75)</f>
        <v>0</v>
      </c>
      <c r="F76" s="152"/>
      <c r="G76" s="151">
        <f>SUM(G63:G75)</f>
        <v>37153155.719999999</v>
      </c>
      <c r="H76" s="132"/>
      <c r="I76" s="116"/>
      <c r="J76" s="159"/>
      <c r="K76" s="160"/>
      <c r="L76" s="158"/>
    </row>
    <row r="77" spans="1:12" ht="13.5" thickTop="1">
      <c r="D77" s="140"/>
      <c r="E77" s="102"/>
      <c r="F77" s="102"/>
      <c r="G77" s="140"/>
      <c r="H77" s="132"/>
      <c r="I77" s="116"/>
      <c r="L77" s="121"/>
    </row>
    <row r="78" spans="1:12">
      <c r="A78" s="113">
        <f>+A76-A47</f>
        <v>0</v>
      </c>
      <c r="D78" s="140">
        <f>+D76-D47</f>
        <v>0</v>
      </c>
      <c r="E78" s="102">
        <f>+E76-E47</f>
        <v>0</v>
      </c>
      <c r="F78" s="161"/>
      <c r="G78" s="140">
        <f>+G76-G47</f>
        <v>0</v>
      </c>
      <c r="H78" s="150"/>
      <c r="I78" s="116"/>
      <c r="J78" s="162"/>
      <c r="L78" s="162"/>
    </row>
    <row r="79" spans="1:12">
      <c r="B79" t="s">
        <v>238</v>
      </c>
      <c r="G79" s="56"/>
      <c r="H79" s="132"/>
      <c r="I79" s="116"/>
      <c r="L79" s="163"/>
    </row>
    <row r="80" spans="1:12">
      <c r="A80" s="110">
        <f>(+A63-A17)/A81</f>
        <v>2.8538321926530612</v>
      </c>
      <c r="B80" t="s">
        <v>239</v>
      </c>
      <c r="D80" s="108">
        <f>(+D63-D17)/D81</f>
        <v>2.8046947118367345</v>
      </c>
      <c r="G80" s="59"/>
      <c r="H80" s="105"/>
      <c r="I80" s="116"/>
      <c r="L80" s="121"/>
    </row>
    <row r="81" spans="1:15" s="37" customFormat="1">
      <c r="A81" s="397">
        <f>+A51</f>
        <v>12250000</v>
      </c>
      <c r="B81" s="37" t="s">
        <v>606</v>
      </c>
      <c r="D81" s="398">
        <f>+D51</f>
        <v>12250000</v>
      </c>
      <c r="E81" s="124"/>
      <c r="F81" s="124"/>
      <c r="G81" s="399"/>
      <c r="H81" s="400"/>
      <c r="I81" s="143"/>
      <c r="J81" s="143"/>
      <c r="K81" s="143"/>
      <c r="L81" s="399"/>
      <c r="M81" s="143"/>
      <c r="N81" s="143"/>
      <c r="O81" s="143"/>
    </row>
    <row r="82" spans="1:15">
      <c r="D82" s="108"/>
      <c r="H82" s="164"/>
      <c r="I82" s="116"/>
      <c r="L82" s="121"/>
    </row>
    <row r="83" spans="1:15">
      <c r="D83" s="111"/>
      <c r="H83" s="163"/>
      <c r="I83" s="116"/>
      <c r="L83" s="121"/>
    </row>
    <row r="84" spans="1:15">
      <c r="I84" s="116"/>
      <c r="L84" s="121"/>
    </row>
    <row r="86" spans="1:15">
      <c r="A86" s="112">
        <v>12250000</v>
      </c>
      <c r="B86" s="353" t="s">
        <v>318</v>
      </c>
      <c r="D86" s="112">
        <v>12250000</v>
      </c>
      <c r="E86" s="102"/>
      <c r="F86" s="102"/>
    </row>
    <row r="87" spans="1:15">
      <c r="A87" s="112">
        <v>12250000</v>
      </c>
      <c r="B87" s="353" t="s">
        <v>319</v>
      </c>
      <c r="D87" s="112">
        <v>12250000</v>
      </c>
      <c r="E87" s="102"/>
      <c r="F87" s="102"/>
      <c r="G87" s="165"/>
    </row>
    <row r="88" spans="1:15">
      <c r="A88" s="112">
        <v>12250000</v>
      </c>
      <c r="B88" s="353" t="s">
        <v>320</v>
      </c>
      <c r="D88" s="112">
        <v>12250000</v>
      </c>
      <c r="E88" s="102"/>
      <c r="F88" s="102"/>
    </row>
    <row r="89" spans="1:15">
      <c r="A89" s="112">
        <v>12250000</v>
      </c>
      <c r="B89" s="353" t="s">
        <v>321</v>
      </c>
      <c r="D89" s="112"/>
      <c r="E89" s="102"/>
      <c r="F89" s="102"/>
      <c r="G89" s="165"/>
    </row>
    <row r="90" spans="1:15">
      <c r="A90" s="112">
        <v>12250000</v>
      </c>
      <c r="B90" s="353" t="s">
        <v>322</v>
      </c>
      <c r="D90" s="112"/>
      <c r="E90" s="102"/>
      <c r="F90" s="102"/>
    </row>
    <row r="91" spans="1:15">
      <c r="A91" s="112">
        <v>12250000</v>
      </c>
      <c r="B91" s="353" t="s">
        <v>323</v>
      </c>
      <c r="D91" s="112"/>
      <c r="E91" s="102"/>
      <c r="F91" s="102"/>
    </row>
    <row r="92" spans="1:15">
      <c r="A92" s="112">
        <v>12250000</v>
      </c>
      <c r="B92" s="353" t="s">
        <v>324</v>
      </c>
      <c r="C92" s="112"/>
      <c r="D92" s="112"/>
      <c r="E92" s="102"/>
      <c r="F92" s="102"/>
    </row>
    <row r="93" spans="1:15">
      <c r="A93" s="112">
        <v>12250000</v>
      </c>
      <c r="B93" s="353" t="s">
        <v>325</v>
      </c>
      <c r="C93" s="112"/>
      <c r="D93" s="112"/>
    </row>
    <row r="94" spans="1:15">
      <c r="A94" s="112">
        <v>12250000</v>
      </c>
      <c r="B94" s="353" t="s">
        <v>326</v>
      </c>
      <c r="C94" s="112"/>
      <c r="D94" s="112"/>
    </row>
    <row r="95" spans="1:15">
      <c r="A95" s="112">
        <v>12250000</v>
      </c>
      <c r="B95" s="353" t="s">
        <v>315</v>
      </c>
      <c r="C95" s="112"/>
      <c r="D95" s="112"/>
    </row>
    <row r="96" spans="1:15">
      <c r="A96" s="112">
        <v>12250000</v>
      </c>
      <c r="B96" s="353" t="s">
        <v>316</v>
      </c>
      <c r="C96" s="112"/>
      <c r="D96" s="112"/>
    </row>
    <row r="97" spans="1:4">
      <c r="A97" s="112">
        <v>12250000</v>
      </c>
      <c r="B97" s="353" t="s">
        <v>317</v>
      </c>
      <c r="C97" s="112"/>
      <c r="D97" s="112"/>
    </row>
    <row r="98" spans="1:4">
      <c r="A98" s="112">
        <f>AVERAGE(A86:A97)</f>
        <v>12250000</v>
      </c>
      <c r="B98" s="114" t="s">
        <v>240</v>
      </c>
      <c r="C98" s="112"/>
      <c r="D98" s="112">
        <f>AVERAGE(D86:D97)</f>
        <v>12250000</v>
      </c>
    </row>
  </sheetData>
  <phoneticPr fontId="0" type="noConversion"/>
  <printOptions horizontalCentered="1"/>
  <pageMargins left="0.5" right="0.5" top="0.5" bottom="0.5" header="0.25" footer="0.24"/>
  <pageSetup paperSize="9" scale="85" orientation="portrait" blackAndWhite="1" horizontalDpi="300" verticalDpi="300" r:id="rId1"/>
  <headerFooter alignWithMargins="0">
    <oddFooter>&amp;C&amp;F&amp;D&amp;R&amp;T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 enableFormatConditionsCalculation="0">
    <tabColor rgb="FFFFC000"/>
  </sheetPr>
  <dimension ref="A3:G237"/>
  <sheetViews>
    <sheetView workbookViewId="0">
      <selection activeCell="F6" sqref="F6"/>
    </sheetView>
  </sheetViews>
  <sheetFormatPr defaultRowHeight="12.75" outlineLevelRow="2"/>
  <cols>
    <col min="3" max="3" width="8.5703125" customWidth="1"/>
    <col min="4" max="4" width="12" customWidth="1"/>
    <col min="5" max="5" width="33" customWidth="1"/>
    <col min="6" max="6" width="15" style="116" bestFit="1" customWidth="1"/>
    <col min="7" max="7" width="13.42578125" bestFit="1" customWidth="1"/>
  </cols>
  <sheetData>
    <row r="3" spans="1:6">
      <c r="C3" s="25" t="s">
        <v>621</v>
      </c>
    </row>
    <row r="4" spans="1:6" ht="13.5" thickBot="1"/>
    <row r="5" spans="1:6" s="25" customFormat="1" ht="13.5" thickBot="1">
      <c r="A5" s="51" t="s">
        <v>1</v>
      </c>
      <c r="B5" s="51" t="s">
        <v>2</v>
      </c>
      <c r="C5" s="202" t="s">
        <v>622</v>
      </c>
      <c r="D5" s="203" t="s">
        <v>623</v>
      </c>
      <c r="E5" s="203" t="s">
        <v>624</v>
      </c>
      <c r="F5" s="454">
        <v>40724</v>
      </c>
    </row>
    <row r="6" spans="1:6" s="70" customFormat="1" outlineLevel="2">
      <c r="A6" s="51" t="s">
        <v>6</v>
      </c>
      <c r="B6" s="51" t="s">
        <v>6</v>
      </c>
      <c r="C6" s="70" t="s">
        <v>157</v>
      </c>
      <c r="D6" s="70">
        <v>1411001001</v>
      </c>
      <c r="E6" s="70" t="s">
        <v>7</v>
      </c>
      <c r="F6" s="473">
        <f>SUMPRODUCT((Alcom!$A$3:$A$2399=CONCATENATE(C6,D6))*(Alcom!$K$1:$V$1=$F$5),Alcom!$K$3:$V$2399)</f>
        <v>2534.7199999999998</v>
      </c>
    </row>
    <row r="7" spans="1:6" s="70" customFormat="1" outlineLevel="2">
      <c r="A7" s="51" t="s">
        <v>6</v>
      </c>
      <c r="B7" s="51" t="s">
        <v>6</v>
      </c>
      <c r="C7" s="70" t="s">
        <v>157</v>
      </c>
      <c r="D7" s="70">
        <v>1411001100</v>
      </c>
      <c r="E7" s="70" t="s">
        <v>8</v>
      </c>
      <c r="F7" s="473">
        <f>SUMPRODUCT((Alcom!$A$3:$A$2399=CONCATENATE(C7,D7))*(Alcom!$K$1:$V$1=$F$5),Alcom!$K$3:$V$2399)</f>
        <v>3041.2</v>
      </c>
    </row>
    <row r="8" spans="1:6" s="70" customFormat="1" outlineLevel="2">
      <c r="A8" s="51" t="s">
        <v>6</v>
      </c>
      <c r="B8" s="51" t="s">
        <v>6</v>
      </c>
      <c r="C8" s="70" t="s">
        <v>157</v>
      </c>
      <c r="D8" s="70">
        <v>1411101000</v>
      </c>
      <c r="E8" s="70" t="s">
        <v>9</v>
      </c>
      <c r="F8" s="473">
        <f>SUMPRODUCT((Alcom!$A$3:$A$2399=CONCATENATE(C8,D8))*(Alcom!$K$1:$V$1=$F$5),Alcom!$K$3:$V$2399)</f>
        <v>16456110.859999999</v>
      </c>
    </row>
    <row r="9" spans="1:6" s="70" customFormat="1" outlineLevel="2">
      <c r="A9" s="51" t="s">
        <v>6</v>
      </c>
      <c r="B9" s="51" t="s">
        <v>6</v>
      </c>
      <c r="C9" s="70" t="s">
        <v>157</v>
      </c>
      <c r="D9" s="70">
        <v>2011101200</v>
      </c>
      <c r="E9" s="70" t="s">
        <v>569</v>
      </c>
      <c r="F9" s="473">
        <f>SUMPRODUCT((Alcom!$A$3:$A$2399=CONCATENATE(C9,D9))*(Alcom!$K$1:$V$1=$F$5),Alcom!$K$3:$V$2399)</f>
        <v>-54696.72</v>
      </c>
    </row>
    <row r="10" spans="1:6" s="70" customFormat="1" outlineLevel="2">
      <c r="A10" s="51" t="s">
        <v>6</v>
      </c>
      <c r="B10" s="51" t="s">
        <v>6</v>
      </c>
      <c r="C10" s="70" t="s">
        <v>157</v>
      </c>
      <c r="D10" s="547">
        <v>2011101210</v>
      </c>
      <c r="E10" s="70" t="s">
        <v>2512</v>
      </c>
      <c r="F10" s="473">
        <f>SUMPRODUCT((Alcom!$A$3:$A$2399=CONCATENATE(C10,D10))*(Alcom!$K$1:$V$1=$F$5),Alcom!$K$3:$V$2399)</f>
        <v>315524.21999999997</v>
      </c>
    </row>
    <row r="11" spans="1:6" s="70" customFormat="1" outlineLevel="2">
      <c r="A11" s="51" t="s">
        <v>6</v>
      </c>
      <c r="B11" s="51" t="s">
        <v>6</v>
      </c>
      <c r="C11" s="70" t="s">
        <v>157</v>
      </c>
      <c r="D11" s="70">
        <v>2011201200</v>
      </c>
      <c r="E11" s="70" t="s">
        <v>10</v>
      </c>
      <c r="F11" s="473">
        <f>SUMPRODUCT((Alcom!$A$3:$A$2399=CONCATENATE(C11,D11))*(Alcom!$K$1:$V$1=$F$5),Alcom!$K$3:$V$2399)</f>
        <v>1127656.52</v>
      </c>
    </row>
    <row r="12" spans="1:6" s="70" customFormat="1" outlineLevel="2">
      <c r="A12" s="51" t="s">
        <v>6</v>
      </c>
      <c r="B12" s="51" t="s">
        <v>6</v>
      </c>
      <c r="C12" s="70" t="s">
        <v>157</v>
      </c>
      <c r="D12" s="70">
        <v>2011201210</v>
      </c>
      <c r="E12" s="70" t="s">
        <v>11</v>
      </c>
      <c r="F12" s="473">
        <f>SUMPRODUCT((Alcom!$A$3:$A$2399=CONCATENATE(C12,D12))*(Alcom!$K$1:$V$1=$F$5),Alcom!$K$3:$V$2399)</f>
        <v>12.79</v>
      </c>
    </row>
    <row r="13" spans="1:6" s="70" customFormat="1" outlineLevel="2">
      <c r="A13" s="51" t="s">
        <v>6</v>
      </c>
      <c r="B13" s="51" t="s">
        <v>6</v>
      </c>
      <c r="C13" s="70" t="s">
        <v>157</v>
      </c>
      <c r="D13" s="70">
        <v>2011401200</v>
      </c>
      <c r="E13" s="70" t="s">
        <v>12</v>
      </c>
      <c r="F13" s="473">
        <f>SUMPRODUCT((Alcom!$A$3:$A$2399=CONCATENATE(C13,D13))*(Alcom!$K$1:$V$1=$F$5),Alcom!$K$3:$V$2399)</f>
        <v>4787.72</v>
      </c>
    </row>
    <row r="14" spans="1:6" s="70" customFormat="1" outlineLevel="2">
      <c r="A14" s="51" t="s">
        <v>6</v>
      </c>
      <c r="B14" s="51" t="s">
        <v>6</v>
      </c>
      <c r="C14" s="414" t="s">
        <v>157</v>
      </c>
      <c r="D14" s="414">
        <v>2011701200</v>
      </c>
      <c r="E14" s="414" t="s">
        <v>13</v>
      </c>
      <c r="F14" s="473">
        <f>SUMPRODUCT((Alcom!$A$3:$A$2399=CONCATENATE(C14,D14))*(Alcom!$K$1:$V$1=$F$5),Alcom!$K$3:$V$2399)</f>
        <v>533.83000000000004</v>
      </c>
    </row>
    <row r="15" spans="1:6" s="70" customFormat="1" outlineLevel="2">
      <c r="A15" s="51" t="s">
        <v>6</v>
      </c>
      <c r="B15" s="51" t="s">
        <v>6</v>
      </c>
      <c r="C15" s="414" t="s">
        <v>157</v>
      </c>
      <c r="D15" s="414">
        <v>2011801200</v>
      </c>
      <c r="E15" s="70" t="s">
        <v>836</v>
      </c>
      <c r="F15" s="473">
        <f>SUMPRODUCT((Alcom!$A$3:$A$2399=CONCATENATE(C15,D15))*(Alcom!$K$1:$V$1=$F$5),Alcom!$K$3:$V$2399)</f>
        <v>24575</v>
      </c>
    </row>
    <row r="16" spans="1:6" s="70" customFormat="1" outlineLevel="2">
      <c r="A16" s="51" t="s">
        <v>6</v>
      </c>
      <c r="B16" s="51" t="s">
        <v>6</v>
      </c>
      <c r="C16" s="414" t="s">
        <v>157</v>
      </c>
      <c r="D16" s="414">
        <v>2012000000</v>
      </c>
      <c r="E16" s="414" t="s">
        <v>14</v>
      </c>
      <c r="F16" s="473">
        <f>SUMPRODUCT((Alcom!$A$3:$A$2399=CONCATENATE(C16,D16))*(Alcom!$K$1:$V$1=$F$5),Alcom!$K$3:$V$2399)</f>
        <v>63869.599999999999</v>
      </c>
    </row>
    <row r="17" spans="1:6" s="70" customFormat="1" outlineLevel="1">
      <c r="A17" s="412" t="s">
        <v>15</v>
      </c>
      <c r="B17" s="51"/>
      <c r="F17" s="474">
        <f>SUBTOTAL(9,F6:F16)</f>
        <v>17943949.739999998</v>
      </c>
    </row>
    <row r="18" spans="1:6" s="70" customFormat="1" outlineLevel="2">
      <c r="A18" s="51" t="s">
        <v>16</v>
      </c>
      <c r="B18" s="51" t="s">
        <v>16</v>
      </c>
      <c r="C18" s="70" t="s">
        <v>157</v>
      </c>
      <c r="D18" s="70">
        <v>3000000000</v>
      </c>
      <c r="E18" s="70" t="s">
        <v>17</v>
      </c>
      <c r="F18" s="473">
        <f>SUMPRODUCT((Alcom!$A$3:$A$2399=CONCATENATE(C18,D18))*(Alcom!$K$1:$V$1=$F$5),Alcom!$K$3:$V$2399)</f>
        <v>-134330848</v>
      </c>
    </row>
    <row r="19" spans="1:6" s="70" customFormat="1" outlineLevel="2">
      <c r="A19" s="51" t="s">
        <v>16</v>
      </c>
      <c r="B19" s="51" t="s">
        <v>16</v>
      </c>
      <c r="C19" s="70" t="s">
        <v>157</v>
      </c>
      <c r="D19" s="70">
        <v>3020000000</v>
      </c>
      <c r="E19" s="70" t="s">
        <v>18</v>
      </c>
      <c r="F19" s="473">
        <f>SUMPRODUCT((Alcom!$A$3:$A$2399=CONCATENATE(C19,D19))*(Alcom!$K$1:$V$1=$F$5),Alcom!$K$3:$V$2399)</f>
        <v>-40146673.460000001</v>
      </c>
    </row>
    <row r="20" spans="1:6" s="70" customFormat="1" outlineLevel="2">
      <c r="A20" s="51" t="s">
        <v>16</v>
      </c>
      <c r="B20" s="51" t="s">
        <v>16</v>
      </c>
      <c r="C20" s="70" t="s">
        <v>157</v>
      </c>
      <c r="D20" s="70">
        <v>3030000000</v>
      </c>
      <c r="E20" s="70" t="s">
        <v>19</v>
      </c>
      <c r="F20" s="473">
        <f>SUMPRODUCT((Alcom!$A$3:$A$2399=CONCATENATE(C20,D20))*(Alcom!$K$1:$V$1=$F$5),Alcom!$K$3:$V$2399)</f>
        <v>-3967727.2</v>
      </c>
    </row>
    <row r="21" spans="1:6" s="70" customFormat="1" outlineLevel="2">
      <c r="A21" s="51" t="s">
        <v>16</v>
      </c>
      <c r="B21" s="51" t="s">
        <v>16</v>
      </c>
      <c r="C21" s="70" t="s">
        <v>157</v>
      </c>
      <c r="D21" s="70">
        <v>3040000000</v>
      </c>
      <c r="E21" s="70" t="s">
        <v>20</v>
      </c>
      <c r="F21" s="473">
        <f>SUMPRODUCT((Alcom!$A$3:$A$2399=CONCATENATE(C21,D21))*(Alcom!$K$1:$V$1=$F$5),Alcom!$K$3:$V$2399)</f>
        <v>-145358</v>
      </c>
    </row>
    <row r="22" spans="1:6" s="70" customFormat="1" outlineLevel="2">
      <c r="A22" s="51" t="s">
        <v>16</v>
      </c>
      <c r="B22" s="51" t="s">
        <v>16</v>
      </c>
      <c r="C22" s="70" t="s">
        <v>157</v>
      </c>
      <c r="D22" s="70">
        <v>3050000000</v>
      </c>
      <c r="E22" s="70" t="s">
        <v>21</v>
      </c>
      <c r="F22" s="473">
        <f>SUMPRODUCT((Alcom!$A$3:$A$2399=CONCATENATE(C22,D22))*(Alcom!$K$1:$V$1=$F$5),Alcom!$K$3:$V$2399)</f>
        <v>-4499736</v>
      </c>
    </row>
    <row r="23" spans="1:6" s="70" customFormat="1" outlineLevel="2">
      <c r="A23" s="51" t="s">
        <v>16</v>
      </c>
      <c r="B23" s="51" t="s">
        <v>16</v>
      </c>
      <c r="C23" s="70" t="s">
        <v>157</v>
      </c>
      <c r="D23" s="70">
        <v>3051000000</v>
      </c>
      <c r="E23" s="70" t="s">
        <v>22</v>
      </c>
      <c r="F23" s="473">
        <f>SUMPRODUCT((Alcom!$A$3:$A$2399=CONCATENATE(C23,D23))*(Alcom!$K$1:$V$1=$F$5),Alcom!$K$3:$V$2399)</f>
        <v>-4000000</v>
      </c>
    </row>
    <row r="24" spans="1:6" s="70" customFormat="1" outlineLevel="2">
      <c r="A24" s="51" t="s">
        <v>16</v>
      </c>
      <c r="B24" s="51" t="s">
        <v>16</v>
      </c>
      <c r="C24" s="70" t="s">
        <v>157</v>
      </c>
      <c r="D24" s="70">
        <v>3052000000</v>
      </c>
      <c r="E24" s="70" t="s">
        <v>23</v>
      </c>
      <c r="F24" s="473">
        <f>SUMPRODUCT((Alcom!$A$3:$A$2399=CONCATENATE(C24,D24))*(Alcom!$K$1:$V$1=$F$5),Alcom!$K$3:$V$2399)</f>
        <v>2330493.7599999998</v>
      </c>
    </row>
    <row r="25" spans="1:6" s="70" customFormat="1" outlineLevel="1">
      <c r="A25" s="117" t="s">
        <v>24</v>
      </c>
      <c r="B25" s="51"/>
      <c r="F25" s="474">
        <f>SUBTOTAL(9,F18:F24)</f>
        <v>-184759848.90000001</v>
      </c>
    </row>
    <row r="26" spans="1:6" s="70" customFormat="1" outlineLevel="2">
      <c r="A26" s="106" t="s">
        <v>25</v>
      </c>
      <c r="B26" s="106" t="s">
        <v>25</v>
      </c>
      <c r="C26" s="70" t="s">
        <v>582</v>
      </c>
      <c r="D26" s="70">
        <v>1001200000</v>
      </c>
      <c r="E26" s="70" t="s">
        <v>26</v>
      </c>
      <c r="F26" s="473">
        <f>SUMPRODUCT((Alcom!$A$3:$A$2399=CONCATENATE(C26,D26))*(Alcom!$K$1:$V$1=$F$5),Alcom!$K$3:$V$2399)</f>
        <v>13046021</v>
      </c>
    </row>
    <row r="27" spans="1:6" s="70" customFormat="1" outlineLevel="2">
      <c r="A27" s="106" t="s">
        <v>25</v>
      </c>
      <c r="B27" s="106" t="s">
        <v>25</v>
      </c>
      <c r="C27" s="70" t="s">
        <v>582</v>
      </c>
      <c r="D27" s="70">
        <v>1001400000</v>
      </c>
      <c r="E27" s="70" t="s">
        <v>30</v>
      </c>
      <c r="F27" s="473">
        <f>SUMPRODUCT((Alcom!$A$3:$A$2399=CONCATENATE(C27,D27))*(Alcom!$K$1:$V$1=$F$5),Alcom!$K$3:$V$2399)</f>
        <v>27789748.760000002</v>
      </c>
    </row>
    <row r="28" spans="1:6" s="70" customFormat="1" outlineLevel="2">
      <c r="A28" s="106" t="s">
        <v>25</v>
      </c>
      <c r="B28" s="106" t="s">
        <v>25</v>
      </c>
      <c r="C28" s="70" t="s">
        <v>582</v>
      </c>
      <c r="D28" s="70">
        <v>1011000000</v>
      </c>
      <c r="E28" s="70" t="s">
        <v>35</v>
      </c>
      <c r="F28" s="473">
        <f>SUMPRODUCT((Alcom!$A$3:$A$2399=CONCATENATE(C28,D28))*(Alcom!$K$1:$V$1=$F$5),Alcom!$K$3:$V$2399)</f>
        <v>211189228.85999998</v>
      </c>
    </row>
    <row r="29" spans="1:6" s="70" customFormat="1" outlineLevel="2">
      <c r="A29" s="106" t="s">
        <v>25</v>
      </c>
      <c r="B29" s="106" t="s">
        <v>25</v>
      </c>
      <c r="C29" s="70" t="s">
        <v>582</v>
      </c>
      <c r="D29" s="70">
        <v>1011100000</v>
      </c>
      <c r="E29" s="70" t="s">
        <v>705</v>
      </c>
      <c r="F29" s="473">
        <f>SUMPRODUCT((Alcom!$A$3:$A$2399=CONCATENATE(C29,D29))*(Alcom!$K$1:$V$1=$F$5),Alcom!$K$3:$V$2399)</f>
        <v>0</v>
      </c>
    </row>
    <row r="30" spans="1:6" s="70" customFormat="1" outlineLevel="2">
      <c r="A30" s="106" t="s">
        <v>25</v>
      </c>
      <c r="B30" s="106" t="s">
        <v>25</v>
      </c>
      <c r="C30" s="70" t="s">
        <v>582</v>
      </c>
      <c r="D30" s="70">
        <v>1021000000</v>
      </c>
      <c r="E30" s="70" t="s">
        <v>36</v>
      </c>
      <c r="F30" s="473">
        <f>SUMPRODUCT((Alcom!$A$3:$A$2399=CONCATENATE(C30,D30))*(Alcom!$K$1:$V$1=$F$5),Alcom!$K$3:$V$2399)</f>
        <v>123929</v>
      </c>
    </row>
    <row r="31" spans="1:6" s="70" customFormat="1" outlineLevel="2">
      <c r="A31" s="123" t="s">
        <v>25</v>
      </c>
      <c r="B31" s="123" t="s">
        <v>25</v>
      </c>
      <c r="C31" s="414" t="s">
        <v>582</v>
      </c>
      <c r="D31" s="414">
        <v>1021100000</v>
      </c>
      <c r="E31" s="414" t="s">
        <v>37</v>
      </c>
      <c r="F31" s="473">
        <f>SUMPRODUCT((Alcom!$A$3:$A$2399=CONCATENATE(C31,D31))*(Alcom!$K$1:$V$1=$F$5),Alcom!$K$3:$V$2399)</f>
        <v>1167367.2</v>
      </c>
    </row>
    <row r="32" spans="1:6" s="70" customFormat="1" outlineLevel="2">
      <c r="A32" s="106" t="s">
        <v>25</v>
      </c>
      <c r="B32" s="106" t="s">
        <v>25</v>
      </c>
      <c r="C32" s="70" t="s">
        <v>582</v>
      </c>
      <c r="D32" s="70">
        <v>1021200000</v>
      </c>
      <c r="E32" s="70" t="s">
        <v>38</v>
      </c>
      <c r="F32" s="473">
        <f>SUMPRODUCT((Alcom!$A$3:$A$2399=CONCATENATE(C32,D32))*(Alcom!$K$1:$V$1=$F$5),Alcom!$K$3:$V$2399)</f>
        <v>988171.13</v>
      </c>
    </row>
    <row r="33" spans="1:7" s="70" customFormat="1" outlineLevel="2">
      <c r="A33" s="106" t="s">
        <v>25</v>
      </c>
      <c r="B33" s="106" t="s">
        <v>25</v>
      </c>
      <c r="C33" s="70" t="s">
        <v>582</v>
      </c>
      <c r="D33" s="70">
        <v>1031000000</v>
      </c>
      <c r="E33" s="70" t="s">
        <v>39</v>
      </c>
      <c r="F33" s="473">
        <f>SUMPRODUCT((Alcom!$A$3:$A$2399=CONCATENATE(C33,D33))*(Alcom!$K$1:$V$1=$F$5),Alcom!$K$3:$V$2399)</f>
        <v>2344701.35</v>
      </c>
    </row>
    <row r="34" spans="1:7" s="70" customFormat="1" outlineLevel="2">
      <c r="A34" s="106" t="s">
        <v>25</v>
      </c>
      <c r="B34" s="106" t="s">
        <v>25</v>
      </c>
      <c r="C34" s="70" t="s">
        <v>582</v>
      </c>
      <c r="D34" s="70">
        <v>1050000000</v>
      </c>
      <c r="E34" s="70" t="s">
        <v>40</v>
      </c>
      <c r="F34" s="473">
        <f>SUMPRODUCT((Alcom!$A$3:$A$2399=CONCATENATE(C34,D34))*(Alcom!$K$1:$V$1=$F$5),Alcom!$K$3:$V$2399)</f>
        <v>13321806.290000001</v>
      </c>
    </row>
    <row r="35" spans="1:7" s="70" customFormat="1" outlineLevel="2">
      <c r="A35" s="106" t="s">
        <v>25</v>
      </c>
      <c r="B35" s="106" t="s">
        <v>25</v>
      </c>
      <c r="C35" s="70" t="s">
        <v>582</v>
      </c>
      <c r="D35" s="70">
        <v>2121100000</v>
      </c>
      <c r="E35" s="70" t="s">
        <v>41</v>
      </c>
      <c r="F35" s="473">
        <f>SUMPRODUCT((Alcom!$A$3:$A$2399=CONCATENATE(C35,D35))*(Alcom!$K$1:$V$1=$F$5),Alcom!$K$3:$V$2399)</f>
        <v>-3884004</v>
      </c>
      <c r="G35" s="437"/>
    </row>
    <row r="36" spans="1:7" s="70" customFormat="1" outlineLevel="2">
      <c r="A36" s="106" t="s">
        <v>25</v>
      </c>
      <c r="B36" s="106" t="s">
        <v>25</v>
      </c>
      <c r="C36" s="70" t="s">
        <v>582</v>
      </c>
      <c r="D36" s="70">
        <v>2121200000</v>
      </c>
      <c r="E36" s="70" t="s">
        <v>43</v>
      </c>
      <c r="F36" s="473">
        <f>SUMPRODUCT((Alcom!$A$3:$A$2399=CONCATENATE(C36,D36))*(Alcom!$K$1:$V$1=$F$5),Alcom!$K$3:$V$2399)</f>
        <v>-19714427.329999998</v>
      </c>
    </row>
    <row r="37" spans="1:7" s="70" customFormat="1" outlineLevel="2">
      <c r="A37" s="106" t="s">
        <v>25</v>
      </c>
      <c r="B37" s="106" t="s">
        <v>25</v>
      </c>
      <c r="C37" s="70" t="s">
        <v>582</v>
      </c>
      <c r="D37" s="70">
        <v>2121300000</v>
      </c>
      <c r="E37" s="70" t="s">
        <v>45</v>
      </c>
      <c r="F37" s="473">
        <f>SUMPRODUCT((Alcom!$A$3:$A$2399=CONCATENATE(C37,D37))*(Alcom!$K$1:$V$1=$F$5),Alcom!$K$3:$V$2399)</f>
        <v>-168515223.71000001</v>
      </c>
    </row>
    <row r="38" spans="1:7" s="70" customFormat="1" outlineLevel="2">
      <c r="A38" s="106" t="s">
        <v>25</v>
      </c>
      <c r="B38" s="106" t="s">
        <v>25</v>
      </c>
      <c r="C38" s="70" t="s">
        <v>582</v>
      </c>
      <c r="D38" s="70">
        <v>2121600000</v>
      </c>
      <c r="E38" s="70" t="s">
        <v>46</v>
      </c>
      <c r="F38" s="473">
        <f>SUMPRODUCT((Alcom!$A$3:$A$2399=CONCATENATE(C38,D38))*(Alcom!$K$1:$V$1=$F$5),Alcom!$K$3:$V$2399)</f>
        <v>-105668</v>
      </c>
    </row>
    <row r="39" spans="1:7" s="70" customFormat="1" outlineLevel="2">
      <c r="A39" s="106" t="s">
        <v>25</v>
      </c>
      <c r="B39" s="106" t="s">
        <v>25</v>
      </c>
      <c r="C39" s="70" t="s">
        <v>582</v>
      </c>
      <c r="D39" s="70">
        <v>2121700000</v>
      </c>
      <c r="E39" s="70" t="s">
        <v>47</v>
      </c>
      <c r="F39" s="473">
        <f>SUMPRODUCT((Alcom!$A$3:$A$2399=CONCATENATE(C39,D39))*(Alcom!$K$1:$V$1=$F$5),Alcom!$K$3:$V$2399)</f>
        <v>-943386</v>
      </c>
    </row>
    <row r="40" spans="1:7" s="70" customFormat="1" outlineLevel="2">
      <c r="A40" s="106" t="s">
        <v>25</v>
      </c>
      <c r="B40" s="106" t="s">
        <v>25</v>
      </c>
      <c r="C40" s="70" t="s">
        <v>582</v>
      </c>
      <c r="D40" s="70">
        <v>2121800000</v>
      </c>
      <c r="E40" s="70" t="s">
        <v>48</v>
      </c>
      <c r="F40" s="473">
        <f>SUMPRODUCT((Alcom!$A$3:$A$2399=CONCATENATE(C40,D40))*(Alcom!$K$1:$V$1=$F$5),Alcom!$K$3:$V$2399)</f>
        <v>-896015.02</v>
      </c>
    </row>
    <row r="41" spans="1:7" s="70" customFormat="1" outlineLevel="2">
      <c r="A41" s="106" t="s">
        <v>25</v>
      </c>
      <c r="B41" s="106" t="s">
        <v>25</v>
      </c>
      <c r="C41" s="70" t="s">
        <v>582</v>
      </c>
      <c r="D41" s="70">
        <v>2121900000</v>
      </c>
      <c r="E41" s="70" t="s">
        <v>49</v>
      </c>
      <c r="F41" s="473">
        <f>SUMPRODUCT((Alcom!$A$3:$A$2399=CONCATENATE(C41,D41))*(Alcom!$K$1:$V$1=$F$5),Alcom!$K$3:$V$2399)</f>
        <v>-1176684.6100000001</v>
      </c>
    </row>
    <row r="42" spans="1:7" s="70" customFormat="1" outlineLevel="2">
      <c r="A42" s="106" t="s">
        <v>25</v>
      </c>
      <c r="B42" s="106" t="s">
        <v>25</v>
      </c>
      <c r="C42" s="70" t="s">
        <v>157</v>
      </c>
      <c r="D42" s="70">
        <v>1001200000</v>
      </c>
      <c r="E42" s="70" t="s">
        <v>27</v>
      </c>
      <c r="F42" s="473">
        <f>SUMPRODUCT((Alcom!$A$3:$A$2399=CONCATENATE(C42,D42))*(Alcom!$K$1:$V$1=$F$5),Alcom!$K$3:$V$2399)</f>
        <v>0</v>
      </c>
    </row>
    <row r="43" spans="1:7" s="70" customFormat="1" outlineLevel="2">
      <c r="A43" s="106" t="s">
        <v>25</v>
      </c>
      <c r="B43" s="106" t="s">
        <v>25</v>
      </c>
      <c r="C43" s="70" t="s">
        <v>157</v>
      </c>
      <c r="D43" s="70">
        <v>1001301000</v>
      </c>
      <c r="E43" s="70" t="s">
        <v>28</v>
      </c>
      <c r="F43" s="473">
        <f>SUMPRODUCT((Alcom!$A$3:$A$2399=CONCATENATE(C43,D43))*(Alcom!$K$1:$V$1=$F$5),Alcom!$K$3:$V$2399)</f>
        <v>7333683</v>
      </c>
    </row>
    <row r="44" spans="1:7" s="70" customFormat="1" outlineLevel="2">
      <c r="A44" s="106" t="s">
        <v>25</v>
      </c>
      <c r="B44" s="106" t="s">
        <v>25</v>
      </c>
      <c r="C44" s="70" t="s">
        <v>157</v>
      </c>
      <c r="D44" s="70">
        <v>1001302000</v>
      </c>
      <c r="E44" s="70" t="s">
        <v>29</v>
      </c>
      <c r="F44" s="473">
        <f>SUMPRODUCT((Alcom!$A$3:$A$2399=CONCATENATE(C44,D44))*(Alcom!$K$1:$V$1=$F$5),Alcom!$K$3:$V$2399)</f>
        <v>0</v>
      </c>
    </row>
    <row r="45" spans="1:7" s="70" customFormat="1" outlineLevel="2">
      <c r="A45" s="106" t="s">
        <v>25</v>
      </c>
      <c r="B45" s="106" t="s">
        <v>25</v>
      </c>
      <c r="C45" s="70" t="s">
        <v>157</v>
      </c>
      <c r="D45" s="70">
        <v>1001400000</v>
      </c>
      <c r="E45" s="70" t="s">
        <v>31</v>
      </c>
      <c r="F45" s="473">
        <f>SUMPRODUCT((Alcom!$A$3:$A$2399=CONCATENATE(C45,D45))*(Alcom!$K$1:$V$1=$F$5),Alcom!$K$3:$V$2399)</f>
        <v>0</v>
      </c>
    </row>
    <row r="46" spans="1:7" s="70" customFormat="1" outlineLevel="2">
      <c r="A46" s="106" t="s">
        <v>25</v>
      </c>
      <c r="B46" s="106" t="s">
        <v>25</v>
      </c>
      <c r="C46" s="70" t="s">
        <v>157</v>
      </c>
      <c r="D46" s="70">
        <v>1001500000</v>
      </c>
      <c r="E46" s="70" t="s">
        <v>32</v>
      </c>
      <c r="F46" s="473">
        <f>SUMPRODUCT((Alcom!$A$3:$A$2399=CONCATENATE(C46,D46))*(Alcom!$K$1:$V$1=$F$5),Alcom!$K$3:$V$2399)</f>
        <v>0</v>
      </c>
    </row>
    <row r="47" spans="1:7" s="70" customFormat="1" outlineLevel="2">
      <c r="A47" s="106" t="s">
        <v>25</v>
      </c>
      <c r="B47" s="106" t="s">
        <v>25</v>
      </c>
      <c r="C47" s="70" t="s">
        <v>157</v>
      </c>
      <c r="D47" s="70">
        <v>1001501000</v>
      </c>
      <c r="E47" s="70" t="s">
        <v>33</v>
      </c>
      <c r="F47" s="473">
        <f>SUMPRODUCT((Alcom!$A$3:$A$2399=CONCATENATE(C47,D47))*(Alcom!$K$1:$V$1=$F$5),Alcom!$K$3:$V$2399)</f>
        <v>-1084050</v>
      </c>
    </row>
    <row r="48" spans="1:7" s="70" customFormat="1" outlineLevel="2">
      <c r="A48" s="106" t="s">
        <v>25</v>
      </c>
      <c r="B48" s="106" t="s">
        <v>25</v>
      </c>
      <c r="C48" s="70" t="s">
        <v>157</v>
      </c>
      <c r="D48" s="70">
        <v>1001502000</v>
      </c>
      <c r="E48" s="70" t="s">
        <v>34</v>
      </c>
      <c r="F48" s="473">
        <f>SUMPRODUCT((Alcom!$A$3:$A$2399=CONCATENATE(C48,D48))*(Alcom!$K$1:$V$1=$F$5),Alcom!$K$3:$V$2399)</f>
        <v>0</v>
      </c>
    </row>
    <row r="49" spans="1:7" s="70" customFormat="1" outlineLevel="2">
      <c r="A49" s="106" t="s">
        <v>25</v>
      </c>
      <c r="B49" s="106" t="s">
        <v>25</v>
      </c>
      <c r="C49" s="414" t="s">
        <v>157</v>
      </c>
      <c r="D49" s="414">
        <v>1021000000</v>
      </c>
      <c r="E49" s="414" t="s">
        <v>36</v>
      </c>
      <c r="F49" s="473">
        <f>SUMPRODUCT((Alcom!$A$3:$A$2399=CONCATENATE(C49,D49))*(Alcom!$K$1:$V$1=$F$5),Alcom!$K$3:$V$2399)</f>
        <v>5450</v>
      </c>
    </row>
    <row r="50" spans="1:7" s="70" customFormat="1" outlineLevel="2">
      <c r="A50" s="106" t="s">
        <v>25</v>
      </c>
      <c r="B50" s="106" t="s">
        <v>25</v>
      </c>
      <c r="C50" s="414" t="s">
        <v>157</v>
      </c>
      <c r="D50" s="414">
        <v>1021100000</v>
      </c>
      <c r="E50" s="414" t="s">
        <v>37</v>
      </c>
      <c r="F50" s="473">
        <f>SUMPRODUCT((Alcom!$A$3:$A$2399=CONCATENATE(C50,D50))*(Alcom!$K$1:$V$1=$F$5),Alcom!$K$3:$V$2399)</f>
        <v>1358013.37</v>
      </c>
    </row>
    <row r="51" spans="1:7" s="70" customFormat="1" outlineLevel="2">
      <c r="A51" s="106" t="s">
        <v>25</v>
      </c>
      <c r="B51" s="106" t="s">
        <v>25</v>
      </c>
      <c r="C51" s="414" t="s">
        <v>157</v>
      </c>
      <c r="D51" s="414">
        <v>1021200000</v>
      </c>
      <c r="E51" s="414" t="s">
        <v>38</v>
      </c>
      <c r="F51" s="473">
        <f>SUMPRODUCT((Alcom!$A$3:$A$2399=CONCATENATE(C51,D51))*(Alcom!$K$1:$V$1=$F$5),Alcom!$K$3:$V$2399)</f>
        <v>981827</v>
      </c>
    </row>
    <row r="52" spans="1:7" s="70" customFormat="1" outlineLevel="2">
      <c r="A52" s="106" t="s">
        <v>25</v>
      </c>
      <c r="B52" s="106" t="s">
        <v>25</v>
      </c>
      <c r="C52" s="414" t="s">
        <v>157</v>
      </c>
      <c r="D52" s="414">
        <v>1031000000</v>
      </c>
      <c r="E52" s="414" t="s">
        <v>39</v>
      </c>
      <c r="F52" s="473">
        <f>SUMPRODUCT((Alcom!$A$3:$A$2399=CONCATENATE(C52,D52))*(Alcom!$K$1:$V$1=$F$5),Alcom!$K$3:$V$2399)</f>
        <v>306587.38</v>
      </c>
    </row>
    <row r="53" spans="1:7" s="70" customFormat="1" outlineLevel="2">
      <c r="A53" s="106" t="s">
        <v>25</v>
      </c>
      <c r="B53" s="106" t="s">
        <v>25</v>
      </c>
      <c r="C53" s="414" t="s">
        <v>157</v>
      </c>
      <c r="D53" s="414">
        <v>2121100000</v>
      </c>
      <c r="E53" s="414" t="s">
        <v>42</v>
      </c>
      <c r="F53" s="473">
        <f>SUMPRODUCT((Alcom!$A$3:$A$2399=CONCATENATE(C53,D53))*(Alcom!$K$1:$V$1=$F$5),Alcom!$K$3:$V$2399)</f>
        <v>0</v>
      </c>
    </row>
    <row r="54" spans="1:7" s="70" customFormat="1" outlineLevel="2">
      <c r="A54" s="106" t="s">
        <v>25</v>
      </c>
      <c r="B54" s="106" t="s">
        <v>25</v>
      </c>
      <c r="C54" s="414" t="s">
        <v>157</v>
      </c>
      <c r="D54" s="414">
        <v>2121200000</v>
      </c>
      <c r="E54" s="414" t="s">
        <v>44</v>
      </c>
      <c r="F54" s="473">
        <f>SUMPRODUCT((Alcom!$A$3:$A$2399=CONCATENATE(C54,D54))*(Alcom!$K$1:$V$1=$F$5),Alcom!$K$3:$V$2399)</f>
        <v>0</v>
      </c>
    </row>
    <row r="55" spans="1:7" s="70" customFormat="1" outlineLevel="2">
      <c r="A55" s="106" t="s">
        <v>25</v>
      </c>
      <c r="B55" s="106" t="s">
        <v>25</v>
      </c>
      <c r="C55" s="414" t="s">
        <v>157</v>
      </c>
      <c r="D55" s="414">
        <v>2121600000</v>
      </c>
      <c r="E55" s="414" t="s">
        <v>46</v>
      </c>
      <c r="F55" s="473">
        <f>SUMPRODUCT((Alcom!$A$3:$A$2399=CONCATENATE(C55,D55))*(Alcom!$K$1:$V$1=$F$5),Alcom!$K$3:$V$2399)</f>
        <v>-5450</v>
      </c>
    </row>
    <row r="56" spans="1:7" s="70" customFormat="1" outlineLevel="2">
      <c r="A56" s="106" t="s">
        <v>25</v>
      </c>
      <c r="B56" s="106" t="s">
        <v>25</v>
      </c>
      <c r="C56" s="414" t="s">
        <v>157</v>
      </c>
      <c r="D56" s="414">
        <v>2121700000</v>
      </c>
      <c r="E56" s="414" t="s">
        <v>47</v>
      </c>
      <c r="F56" s="473">
        <f>SUMPRODUCT((Alcom!$A$3:$A$2399=CONCATENATE(C56,D56))*(Alcom!$K$1:$V$1=$F$5),Alcom!$K$3:$V$2399)</f>
        <v>-1358013.37</v>
      </c>
    </row>
    <row r="57" spans="1:7" s="70" customFormat="1" outlineLevel="2">
      <c r="A57" s="106" t="s">
        <v>25</v>
      </c>
      <c r="B57" s="106" t="s">
        <v>25</v>
      </c>
      <c r="C57" s="414" t="s">
        <v>157</v>
      </c>
      <c r="D57" s="414">
        <v>2121800000</v>
      </c>
      <c r="E57" s="414" t="s">
        <v>48</v>
      </c>
      <c r="F57" s="473">
        <f>SUMPRODUCT((Alcom!$A$3:$A$2399=CONCATENATE(C57,D57))*(Alcom!$K$1:$V$1=$F$5),Alcom!$K$3:$V$2399)</f>
        <v>-981827</v>
      </c>
      <c r="G57" s="437"/>
    </row>
    <row r="58" spans="1:7" s="70" customFormat="1" outlineLevel="2">
      <c r="A58" s="106" t="s">
        <v>25</v>
      </c>
      <c r="B58" s="106" t="s">
        <v>25</v>
      </c>
      <c r="C58" s="70" t="s">
        <v>157</v>
      </c>
      <c r="D58" s="70">
        <v>2121900000</v>
      </c>
      <c r="E58" s="70" t="s">
        <v>49</v>
      </c>
      <c r="F58" s="473">
        <f>SUMPRODUCT((Alcom!$A$3:$A$2399=CONCATENATE(C58,D58))*(Alcom!$K$1:$V$1=$F$5),Alcom!$K$3:$V$2399)</f>
        <v>-306587.38</v>
      </c>
    </row>
    <row r="59" spans="1:7" s="70" customFormat="1" outlineLevel="2">
      <c r="A59" s="106" t="s">
        <v>25</v>
      </c>
      <c r="B59" s="106" t="s">
        <v>25</v>
      </c>
      <c r="C59" s="70" t="s">
        <v>157</v>
      </c>
      <c r="D59" s="70">
        <v>2131101000</v>
      </c>
      <c r="E59" s="70" t="s">
        <v>50</v>
      </c>
      <c r="F59" s="473">
        <f>SUMPRODUCT((Alcom!$A$3:$A$2399=CONCATENATE(C59,D59))*(Alcom!$K$1:$V$1=$F$5),Alcom!$K$3:$V$2399)</f>
        <v>-1916334</v>
      </c>
      <c r="G59" s="437"/>
    </row>
    <row r="60" spans="1:7" s="70" customFormat="1" outlineLevel="2">
      <c r="A60" s="106" t="s">
        <v>25</v>
      </c>
      <c r="B60" s="106" t="s">
        <v>25</v>
      </c>
      <c r="C60" s="70" t="s">
        <v>157</v>
      </c>
      <c r="D60" s="70">
        <v>2131102000</v>
      </c>
      <c r="E60" s="70" t="s">
        <v>51</v>
      </c>
      <c r="F60" s="473">
        <f>SUMPRODUCT((Alcom!$A$3:$A$2399=CONCATENATE(C60,D60))*(Alcom!$K$1:$V$1=$F$5),Alcom!$K$3:$V$2399)</f>
        <v>0</v>
      </c>
    </row>
    <row r="61" spans="1:7" s="70" customFormat="1" outlineLevel="2">
      <c r="A61" s="106" t="s">
        <v>25</v>
      </c>
      <c r="B61" s="106" t="s">
        <v>25</v>
      </c>
      <c r="C61" s="70" t="s">
        <v>157</v>
      </c>
      <c r="D61" s="70">
        <v>2131200000</v>
      </c>
      <c r="E61" s="70" t="s">
        <v>52</v>
      </c>
      <c r="F61" s="473">
        <f>SUMPRODUCT((Alcom!$A$3:$A$2399=CONCATENATE(C61,D61))*(Alcom!$K$1:$V$1=$F$5),Alcom!$K$3:$V$2399)</f>
        <v>0</v>
      </c>
    </row>
    <row r="62" spans="1:7" s="70" customFormat="1" outlineLevel="2">
      <c r="A62" s="106" t="s">
        <v>25</v>
      </c>
      <c r="B62" s="106" t="s">
        <v>25</v>
      </c>
      <c r="C62" s="70" t="s">
        <v>157</v>
      </c>
      <c r="D62" s="70">
        <v>2131201000</v>
      </c>
      <c r="E62" s="70" t="s">
        <v>53</v>
      </c>
      <c r="F62" s="473">
        <f>SUMPRODUCT((Alcom!$A$3:$A$2399=CONCATENATE(C62,D62))*(Alcom!$K$1:$V$1=$F$5),Alcom!$K$3:$V$2399)</f>
        <v>956519</v>
      </c>
      <c r="G62" s="437"/>
    </row>
    <row r="63" spans="1:7" s="70" customFormat="1" outlineLevel="2">
      <c r="A63" s="106" t="s">
        <v>25</v>
      </c>
      <c r="B63" s="106" t="s">
        <v>25</v>
      </c>
      <c r="C63" s="70" t="s">
        <v>157</v>
      </c>
      <c r="D63" s="70">
        <v>2131202000</v>
      </c>
      <c r="E63" s="70" t="s">
        <v>54</v>
      </c>
      <c r="F63" s="473">
        <f>SUMPRODUCT((Alcom!$A$3:$A$2399=CONCATENATE(C63,D63))*(Alcom!$K$1:$V$1=$F$5),Alcom!$K$3:$V$2399)</f>
        <v>0</v>
      </c>
    </row>
    <row r="64" spans="1:7" s="70" customFormat="1" outlineLevel="1">
      <c r="A64" s="50" t="s">
        <v>55</v>
      </c>
      <c r="B64" s="106"/>
      <c r="F64" s="474">
        <f>SUBTOTAL(9,F26:F63)</f>
        <v>80025382.919999987</v>
      </c>
    </row>
    <row r="65" spans="1:7" s="70" customFormat="1" outlineLevel="2">
      <c r="A65" s="106" t="s">
        <v>56</v>
      </c>
      <c r="B65" s="106" t="s">
        <v>56</v>
      </c>
      <c r="C65" s="70" t="s">
        <v>582</v>
      </c>
      <c r="D65" s="421">
        <v>1400900000</v>
      </c>
      <c r="E65" s="70" t="s">
        <v>57</v>
      </c>
      <c r="F65" s="473">
        <f>SUMPRODUCT((Alcom!$A$3:$A$2399=CONCATENATE(C65,D65))*(Alcom!$K$1:$V$1=$F$5),Alcom!$K$3:$V$2399)</f>
        <v>1027123.34</v>
      </c>
      <c r="G65" s="437"/>
    </row>
    <row r="66" spans="1:7" s="70" customFormat="1" outlineLevel="2">
      <c r="A66" s="106" t="s">
        <v>56</v>
      </c>
      <c r="B66" s="106" t="s">
        <v>56</v>
      </c>
      <c r="C66" s="70" t="s">
        <v>582</v>
      </c>
      <c r="D66" s="421">
        <v>1401001200</v>
      </c>
      <c r="E66" s="70" t="s">
        <v>58</v>
      </c>
      <c r="F66" s="473">
        <f>SUMPRODUCT((Alcom!$A$3:$A$2399=CONCATENATE(C66,D66))*(Alcom!$K$1:$V$1=$F$5),Alcom!$K$3:$V$2399)</f>
        <v>1010749.14</v>
      </c>
      <c r="G66" s="437"/>
    </row>
    <row r="67" spans="1:7" s="70" customFormat="1" outlineLevel="2">
      <c r="A67" s="106" t="s">
        <v>56</v>
      </c>
      <c r="B67" s="106" t="s">
        <v>56</v>
      </c>
      <c r="C67" s="70" t="s">
        <v>582</v>
      </c>
      <c r="D67" s="421">
        <v>1401001250</v>
      </c>
      <c r="E67" s="70" t="s">
        <v>679</v>
      </c>
      <c r="F67" s="473">
        <f>SUMPRODUCT((Alcom!$A$3:$A$2399=CONCATENATE(C67,D67))*(Alcom!$K$1:$V$1=$F$5),Alcom!$K$3:$V$2399)</f>
        <v>0</v>
      </c>
      <c r="G67" s="437"/>
    </row>
    <row r="68" spans="1:7" s="70" customFormat="1" outlineLevel="2">
      <c r="A68" s="106" t="s">
        <v>56</v>
      </c>
      <c r="B68" s="106" t="s">
        <v>56</v>
      </c>
      <c r="C68" s="70" t="s">
        <v>582</v>
      </c>
      <c r="D68" s="421">
        <v>1401001300</v>
      </c>
      <c r="E68" s="70" t="s">
        <v>59</v>
      </c>
      <c r="F68" s="473">
        <f>SUMPRODUCT((Alcom!$A$3:$A$2399=CONCATENATE(C68,D68))*(Alcom!$K$1:$V$1=$F$5),Alcom!$K$3:$V$2399)</f>
        <v>884344.51</v>
      </c>
      <c r="G68" s="437"/>
    </row>
    <row r="69" spans="1:7" s="70" customFormat="1" outlineLevel="2">
      <c r="A69" s="106" t="s">
        <v>56</v>
      </c>
      <c r="B69" s="106" t="s">
        <v>56</v>
      </c>
      <c r="C69" s="70" t="s">
        <v>582</v>
      </c>
      <c r="D69" s="421">
        <v>1401001510</v>
      </c>
      <c r="E69" s="70" t="s">
        <v>60</v>
      </c>
      <c r="F69" s="473">
        <f>SUMPRODUCT((Alcom!$A$3:$A$2399=CONCATENATE(C69,D69))*(Alcom!$K$1:$V$1=$F$5),Alcom!$K$3:$V$2399)</f>
        <v>17725.59</v>
      </c>
      <c r="G69" s="437"/>
    </row>
    <row r="70" spans="1:7" s="70" customFormat="1" outlineLevel="2">
      <c r="A70" s="106" t="s">
        <v>56</v>
      </c>
      <c r="B70" s="106" t="s">
        <v>56</v>
      </c>
      <c r="C70" s="70" t="s">
        <v>582</v>
      </c>
      <c r="D70" s="421">
        <v>1401001520</v>
      </c>
      <c r="E70" s="70" t="s">
        <v>61</v>
      </c>
      <c r="F70" s="473">
        <f>SUMPRODUCT((Alcom!$A$3:$A$2399=CONCATENATE(C70,D70))*(Alcom!$K$1:$V$1=$F$5),Alcom!$K$3:$V$2399)</f>
        <v>171296.26</v>
      </c>
      <c r="G70" s="437"/>
    </row>
    <row r="71" spans="1:7" s="70" customFormat="1" outlineLevel="2">
      <c r="A71" s="106" t="s">
        <v>56</v>
      </c>
      <c r="B71" s="106" t="s">
        <v>56</v>
      </c>
      <c r="C71" s="70" t="s">
        <v>582</v>
      </c>
      <c r="D71" s="421">
        <v>1401001530</v>
      </c>
      <c r="E71" s="70" t="s">
        <v>62</v>
      </c>
      <c r="F71" s="473">
        <f>SUMPRODUCT((Alcom!$A$3:$A$2399=CONCATENATE(C71,D71))*(Alcom!$K$1:$V$1=$F$5),Alcom!$K$3:$V$2399)</f>
        <v>88142.7</v>
      </c>
      <c r="G71" s="437"/>
    </row>
    <row r="72" spans="1:7" s="70" customFormat="1" outlineLevel="2">
      <c r="A72" s="106" t="s">
        <v>56</v>
      </c>
      <c r="B72" s="106" t="s">
        <v>56</v>
      </c>
      <c r="C72" s="70" t="s">
        <v>582</v>
      </c>
      <c r="D72" s="421">
        <v>1401001540</v>
      </c>
      <c r="E72" s="70" t="s">
        <v>63</v>
      </c>
      <c r="F72" s="473">
        <f>SUMPRODUCT((Alcom!$A$3:$A$2399=CONCATENATE(C72,D72))*(Alcom!$K$1:$V$1=$F$5),Alcom!$K$3:$V$2399)</f>
        <v>26718.26</v>
      </c>
      <c r="G72" s="437"/>
    </row>
    <row r="73" spans="1:7" s="70" customFormat="1" outlineLevel="2">
      <c r="A73" s="106" t="s">
        <v>56</v>
      </c>
      <c r="B73" s="106" t="s">
        <v>56</v>
      </c>
      <c r="C73" s="70" t="s">
        <v>582</v>
      </c>
      <c r="D73" s="421">
        <v>1401001550</v>
      </c>
      <c r="E73" s="70" t="s">
        <v>64</v>
      </c>
      <c r="F73" s="473">
        <f>SUMPRODUCT((Alcom!$A$3:$A$2399=CONCATENATE(C73,D73))*(Alcom!$K$1:$V$1=$F$5),Alcom!$K$3:$V$2399)</f>
        <v>21878.79</v>
      </c>
      <c r="G73" s="437"/>
    </row>
    <row r="74" spans="1:7" s="70" customFormat="1" outlineLevel="2">
      <c r="A74" s="106" t="s">
        <v>56</v>
      </c>
      <c r="B74" s="106" t="s">
        <v>56</v>
      </c>
      <c r="C74" s="70" t="s">
        <v>582</v>
      </c>
      <c r="D74" s="421">
        <v>1401001555</v>
      </c>
      <c r="E74" s="70" t="s">
        <v>680</v>
      </c>
      <c r="F74" s="473">
        <f>SUMPRODUCT((Alcom!$A$3:$A$2399=CONCATENATE(C74,D74))*(Alcom!$K$1:$V$1=$F$5),Alcom!$K$3:$V$2399)</f>
        <v>0</v>
      </c>
      <c r="G74" s="437"/>
    </row>
    <row r="75" spans="1:7" s="70" customFormat="1" outlineLevel="2">
      <c r="A75" s="106" t="s">
        <v>56</v>
      </c>
      <c r="B75" s="106" t="s">
        <v>56</v>
      </c>
      <c r="C75" s="70" t="s">
        <v>582</v>
      </c>
      <c r="D75" s="421">
        <v>1401001560</v>
      </c>
      <c r="E75" s="70" t="s">
        <v>65</v>
      </c>
      <c r="F75" s="473">
        <f>SUMPRODUCT((Alcom!$A$3:$A$2399=CONCATENATE(C75,D75))*(Alcom!$K$1:$V$1=$F$5),Alcom!$K$3:$V$2399)</f>
        <v>205505.61</v>
      </c>
      <c r="G75" s="437"/>
    </row>
    <row r="76" spans="1:7" s="70" customFormat="1" outlineLevel="2">
      <c r="A76" s="106" t="s">
        <v>56</v>
      </c>
      <c r="B76" s="106" t="s">
        <v>56</v>
      </c>
      <c r="C76" s="70" t="s">
        <v>582</v>
      </c>
      <c r="D76" s="421">
        <v>1401101000</v>
      </c>
      <c r="E76" s="70" t="s">
        <v>66</v>
      </c>
      <c r="F76" s="473">
        <f>SUMPRODUCT((Alcom!$A$3:$A$2399=CONCATENATE(C76,D76))*(Alcom!$K$1:$V$1=$F$5),Alcom!$K$3:$V$2399)</f>
        <v>2548486.89</v>
      </c>
      <c r="G76" s="437"/>
    </row>
    <row r="77" spans="1:7" s="70" customFormat="1" outlineLevel="2">
      <c r="A77" s="106" t="s">
        <v>56</v>
      </c>
      <c r="B77" s="106" t="s">
        <v>56</v>
      </c>
      <c r="C77" s="414" t="s">
        <v>582</v>
      </c>
      <c r="D77" s="422">
        <v>1401101100</v>
      </c>
      <c r="E77" s="414" t="s">
        <v>67</v>
      </c>
      <c r="F77" s="473">
        <f>SUMPRODUCT((Alcom!$A$3:$A$2399=CONCATENATE(C77,D77))*(Alcom!$K$1:$V$1=$F$5),Alcom!$K$3:$V$2399)</f>
        <v>0</v>
      </c>
      <c r="G77" s="437"/>
    </row>
    <row r="78" spans="1:7" s="70" customFormat="1" outlineLevel="2">
      <c r="A78" s="106" t="s">
        <v>56</v>
      </c>
      <c r="B78" s="106" t="s">
        <v>56</v>
      </c>
      <c r="C78" s="414" t="s">
        <v>582</v>
      </c>
      <c r="D78" s="422">
        <v>1401101101</v>
      </c>
      <c r="E78" s="414" t="s">
        <v>663</v>
      </c>
      <c r="F78" s="473">
        <f>SUMPRODUCT((Alcom!$A$3:$A$2399=CONCATENATE(C78,D78))*(Alcom!$K$1:$V$1=$F$5),Alcom!$K$3:$V$2399)</f>
        <v>0</v>
      </c>
      <c r="G78" s="437"/>
    </row>
    <row r="79" spans="1:7" s="70" customFormat="1" outlineLevel="2">
      <c r="A79" s="106" t="s">
        <v>56</v>
      </c>
      <c r="B79" s="106" t="s">
        <v>56</v>
      </c>
      <c r="C79" s="414" t="s">
        <v>582</v>
      </c>
      <c r="D79" s="422">
        <v>1401101200</v>
      </c>
      <c r="E79" s="414" t="s">
        <v>68</v>
      </c>
      <c r="F79" s="473">
        <f>SUMPRODUCT((Alcom!$A$3:$A$2399=CONCATENATE(C79,D79))*(Alcom!$K$1:$V$1=$F$5),Alcom!$K$3:$V$2399)</f>
        <v>25997342.850000001</v>
      </c>
      <c r="G79" s="437"/>
    </row>
    <row r="80" spans="1:7" s="70" customFormat="1" outlineLevel="2">
      <c r="A80" s="106" t="s">
        <v>56</v>
      </c>
      <c r="B80" s="106" t="s">
        <v>56</v>
      </c>
      <c r="C80" s="70" t="s">
        <v>582</v>
      </c>
      <c r="D80" s="421">
        <v>1401200000</v>
      </c>
      <c r="E80" s="70" t="s">
        <v>69</v>
      </c>
      <c r="F80" s="473">
        <f>SUMPRODUCT((Alcom!$A$3:$A$2399=CONCATENATE(C80,D80))*(Alcom!$K$1:$V$1=$F$5),Alcom!$K$3:$V$2399)</f>
        <v>8897817.5299999993</v>
      </c>
      <c r="G80" s="437"/>
    </row>
    <row r="81" spans="1:7" s="70" customFormat="1" outlineLevel="2">
      <c r="A81" s="106" t="s">
        <v>56</v>
      </c>
      <c r="B81" s="106" t="s">
        <v>56</v>
      </c>
      <c r="C81" s="70" t="s">
        <v>582</v>
      </c>
      <c r="D81" s="421">
        <v>1451001101</v>
      </c>
      <c r="E81" s="70" t="s">
        <v>631</v>
      </c>
      <c r="F81" s="473">
        <f>SUMPRODUCT((Alcom!$A$3:$A$2399=CONCATENATE(C81,D81))*(Alcom!$K$1:$V$1=$F$5),Alcom!$K$3:$V$2399)</f>
        <v>-165000</v>
      </c>
      <c r="G81" s="437"/>
    </row>
    <row r="82" spans="1:7" s="70" customFormat="1" outlineLevel="2">
      <c r="A82" s="106" t="s">
        <v>56</v>
      </c>
      <c r="B82" s="106" t="s">
        <v>56</v>
      </c>
      <c r="C82" s="70" t="s">
        <v>582</v>
      </c>
      <c r="D82" s="421">
        <v>1451001102</v>
      </c>
      <c r="E82" s="70" t="s">
        <v>70</v>
      </c>
      <c r="F82" s="473">
        <f>SUMPRODUCT((Alcom!$A$3:$A$2399=CONCATENATE(C82,D82))*(Alcom!$K$1:$V$1=$F$5),Alcom!$K$3:$V$2399)</f>
        <v>-135000</v>
      </c>
      <c r="G82" s="437"/>
    </row>
    <row r="83" spans="1:7" s="70" customFormat="1" outlineLevel="1">
      <c r="A83" s="50" t="s">
        <v>71</v>
      </c>
      <c r="B83" s="106"/>
      <c r="F83" s="474">
        <f>SUBTOTAL(9,F65:F82)</f>
        <v>40597131.469999999</v>
      </c>
    </row>
    <row r="84" spans="1:7" s="70" customFormat="1" outlineLevel="2">
      <c r="A84" s="106" t="s">
        <v>72</v>
      </c>
      <c r="B84" s="106" t="s">
        <v>72</v>
      </c>
      <c r="C84" s="70" t="s">
        <v>582</v>
      </c>
      <c r="D84" s="70">
        <v>1401300000</v>
      </c>
      <c r="E84" s="70" t="s">
        <v>241</v>
      </c>
      <c r="F84" s="473">
        <f>SUMPRODUCT((Alcom!$A$3:$A$2399=CONCATENATE(C84,D84))*(Alcom!$K$1:$V$1=$F$5),Alcom!$K$3:$V$2399)</f>
        <v>0</v>
      </c>
    </row>
    <row r="85" spans="1:7" s="70" customFormat="1" outlineLevel="2">
      <c r="A85" s="106" t="s">
        <v>72</v>
      </c>
      <c r="B85" s="106" t="s">
        <v>72</v>
      </c>
      <c r="C85" s="70" t="s">
        <v>582</v>
      </c>
      <c r="D85" s="70">
        <v>1401301000</v>
      </c>
      <c r="E85" s="70" t="s">
        <v>73</v>
      </c>
      <c r="F85" s="473">
        <f>SUMPRODUCT((Alcom!$A$3:$A$2399=CONCATENATE(C85,D85))*(Alcom!$K$1:$V$1=$F$5),Alcom!$K$3:$V$2399)</f>
        <v>566569.74</v>
      </c>
    </row>
    <row r="86" spans="1:7" s="70" customFormat="1" outlineLevel="2">
      <c r="A86" s="106" t="s">
        <v>72</v>
      </c>
      <c r="B86" s="106" t="s">
        <v>72</v>
      </c>
      <c r="C86" s="70" t="s">
        <v>582</v>
      </c>
      <c r="D86" s="421">
        <v>1401301010</v>
      </c>
      <c r="E86" s="70" t="s">
        <v>666</v>
      </c>
      <c r="F86" s="473">
        <f>SUMPRODUCT((Alcom!$A$3:$A$2399=CONCATENATE(C86,D86))*(Alcom!$K$1:$V$1=$F$5),Alcom!$K$3:$V$2399)</f>
        <v>0</v>
      </c>
    </row>
    <row r="87" spans="1:7" s="70" customFormat="1" outlineLevel="2">
      <c r="A87" s="106" t="s">
        <v>72</v>
      </c>
      <c r="B87" s="106" t="s">
        <v>72</v>
      </c>
      <c r="C87" s="414" t="s">
        <v>582</v>
      </c>
      <c r="D87" s="414">
        <v>1401301100</v>
      </c>
      <c r="E87" s="414" t="s">
        <v>74</v>
      </c>
      <c r="F87" s="473">
        <f>SUMPRODUCT((Alcom!$A$3:$A$2399=CONCATENATE(C87,D87))*(Alcom!$K$1:$V$1=$F$5),Alcom!$K$3:$V$2399)</f>
        <v>39894.43</v>
      </c>
    </row>
    <row r="88" spans="1:7" s="404" customFormat="1" outlineLevel="2">
      <c r="A88" s="106" t="s">
        <v>72</v>
      </c>
      <c r="B88" s="106" t="s">
        <v>72</v>
      </c>
      <c r="C88" s="414" t="s">
        <v>582</v>
      </c>
      <c r="D88" s="414">
        <v>1401301110</v>
      </c>
      <c r="E88" s="414" t="s">
        <v>706</v>
      </c>
      <c r="F88" s="473">
        <f>SUMPRODUCT((Alcom!$A$3:$A$2399=CONCATENATE(C88,D88))*(Alcom!$K$1:$V$1=$F$5),Alcom!$K$3:$V$2399)</f>
        <v>0</v>
      </c>
    </row>
    <row r="89" spans="1:7" s="404" customFormat="1" outlineLevel="2">
      <c r="A89" s="106" t="s">
        <v>72</v>
      </c>
      <c r="B89" s="106" t="s">
        <v>72</v>
      </c>
      <c r="C89" s="414" t="s">
        <v>582</v>
      </c>
      <c r="D89" s="414">
        <v>1401301200</v>
      </c>
      <c r="E89" s="414" t="s">
        <v>75</v>
      </c>
      <c r="F89" s="473">
        <f>SUMPRODUCT((Alcom!$A$3:$A$2399=CONCATENATE(C89,D89))*(Alcom!$K$1:$V$1=$F$5),Alcom!$K$3:$V$2399)</f>
        <v>216286.46</v>
      </c>
    </row>
    <row r="90" spans="1:7" outlineLevel="2">
      <c r="A90" s="106" t="s">
        <v>72</v>
      </c>
      <c r="B90" s="106" t="s">
        <v>72</v>
      </c>
      <c r="C90" s="70" t="s">
        <v>582</v>
      </c>
      <c r="D90" s="70">
        <v>1401301210</v>
      </c>
      <c r="E90" s="70" t="s">
        <v>707</v>
      </c>
      <c r="F90" s="473">
        <f>SUMPRODUCT((Alcom!$A$3:$A$2399=CONCATENATE(C90,D90))*(Alcom!$K$1:$V$1=$F$5),Alcom!$K$3:$V$2399)</f>
        <v>0</v>
      </c>
    </row>
    <row r="91" spans="1:7" outlineLevel="2">
      <c r="A91" s="106" t="s">
        <v>72</v>
      </c>
      <c r="B91" s="106" t="s">
        <v>72</v>
      </c>
      <c r="C91" s="70" t="s">
        <v>582</v>
      </c>
      <c r="D91" s="421">
        <v>1401301500</v>
      </c>
      <c r="E91" s="70" t="s">
        <v>76</v>
      </c>
      <c r="F91" s="473">
        <f>SUMPRODUCT((Alcom!$A$3:$A$2399=CONCATENATE(C91,D91))*(Alcom!$K$1:$V$1=$F$5),Alcom!$K$3:$V$2399)</f>
        <v>8799440.8100000005</v>
      </c>
    </row>
    <row r="92" spans="1:7" outlineLevel="2">
      <c r="A92" s="106" t="s">
        <v>72</v>
      </c>
      <c r="B92" s="106" t="s">
        <v>72</v>
      </c>
      <c r="C92" s="70" t="s">
        <v>582</v>
      </c>
      <c r="D92" s="421">
        <v>1401301510</v>
      </c>
      <c r="E92" s="70" t="s">
        <v>708</v>
      </c>
      <c r="F92" s="473">
        <f>SUMPRODUCT((Alcom!$A$3:$A$2399=CONCATENATE(C92,D92))*(Alcom!$K$1:$V$1=$F$5),Alcom!$K$3:$V$2399)</f>
        <v>0</v>
      </c>
    </row>
    <row r="93" spans="1:7" outlineLevel="2">
      <c r="A93" s="106" t="s">
        <v>72</v>
      </c>
      <c r="B93" s="106" t="s">
        <v>72</v>
      </c>
      <c r="C93" s="70" t="s">
        <v>582</v>
      </c>
      <c r="D93" s="421">
        <v>1401301600</v>
      </c>
      <c r="E93" s="70" t="s">
        <v>77</v>
      </c>
      <c r="F93" s="473">
        <f>SUMPRODUCT((Alcom!$A$3:$A$2399=CONCATENATE(C93,D93))*(Alcom!$K$1:$V$1=$F$5),Alcom!$K$3:$V$2399)</f>
        <v>881741.83</v>
      </c>
    </row>
    <row r="94" spans="1:7" outlineLevel="2">
      <c r="A94" s="106" t="s">
        <v>72</v>
      </c>
      <c r="B94" s="106" t="s">
        <v>72</v>
      </c>
      <c r="C94" s="70" t="s">
        <v>582</v>
      </c>
      <c r="D94" s="421">
        <v>1401301610</v>
      </c>
      <c r="E94" s="70" t="s">
        <v>684</v>
      </c>
      <c r="F94" s="473">
        <f>SUMPRODUCT((Alcom!$A$3:$A$2399=CONCATENATE(C94,D94))*(Alcom!$K$1:$V$1=$F$5),Alcom!$K$3:$V$2399)</f>
        <v>0</v>
      </c>
    </row>
    <row r="95" spans="1:7" outlineLevel="2">
      <c r="A95" s="106" t="s">
        <v>72</v>
      </c>
      <c r="B95" s="106" t="s">
        <v>72</v>
      </c>
      <c r="C95" s="70" t="s">
        <v>582</v>
      </c>
      <c r="D95" s="421">
        <v>1401301700</v>
      </c>
      <c r="E95" s="70" t="s">
        <v>78</v>
      </c>
      <c r="F95" s="473">
        <f>SUMPRODUCT((Alcom!$A$3:$A$2399=CONCATENATE(C95,D95))*(Alcom!$K$1:$V$1=$F$5),Alcom!$K$3:$V$2399)</f>
        <v>3157875.39</v>
      </c>
    </row>
    <row r="96" spans="1:7" outlineLevel="2">
      <c r="A96" s="106" t="s">
        <v>72</v>
      </c>
      <c r="B96" s="106" t="s">
        <v>72</v>
      </c>
      <c r="C96" s="70" t="s">
        <v>582</v>
      </c>
      <c r="D96" s="421">
        <v>1401301710</v>
      </c>
      <c r="E96" s="70" t="s">
        <v>709</v>
      </c>
      <c r="F96" s="473">
        <f>SUMPRODUCT((Alcom!$A$3:$A$2399=CONCATENATE(C96,D96))*(Alcom!$K$1:$V$1=$F$5),Alcom!$K$3:$V$2399)</f>
        <v>0</v>
      </c>
    </row>
    <row r="97" spans="1:6" outlineLevel="2">
      <c r="A97" s="106" t="s">
        <v>72</v>
      </c>
      <c r="B97" s="106" t="s">
        <v>72</v>
      </c>
      <c r="C97" s="70" t="s">
        <v>582</v>
      </c>
      <c r="D97" s="421">
        <v>1401302000</v>
      </c>
      <c r="E97" s="70" t="s">
        <v>79</v>
      </c>
      <c r="F97" s="473">
        <f>SUMPRODUCT((Alcom!$A$3:$A$2399=CONCATENATE(C97,D97))*(Alcom!$K$1:$V$1=$F$5),Alcom!$K$3:$V$2399)</f>
        <v>460023.5</v>
      </c>
    </row>
    <row r="98" spans="1:6" outlineLevel="2">
      <c r="A98" s="106" t="s">
        <v>72</v>
      </c>
      <c r="B98" s="106" t="s">
        <v>72</v>
      </c>
      <c r="C98" s="70" t="s">
        <v>582</v>
      </c>
      <c r="D98" s="70">
        <v>1401302010</v>
      </c>
      <c r="E98" s="70" t="s">
        <v>710</v>
      </c>
      <c r="F98" s="473">
        <f>SUMPRODUCT((Alcom!$A$3:$A$2399=CONCATENATE(C98,D98))*(Alcom!$K$1:$V$1=$F$5),Alcom!$K$3:$V$2399)</f>
        <v>0</v>
      </c>
    </row>
    <row r="99" spans="1:6" outlineLevel="2">
      <c r="A99" s="106" t="s">
        <v>72</v>
      </c>
      <c r="B99" s="106" t="s">
        <v>72</v>
      </c>
      <c r="C99" s="70" t="s">
        <v>582</v>
      </c>
      <c r="D99" s="70">
        <v>1401303000</v>
      </c>
      <c r="E99" s="70" t="s">
        <v>80</v>
      </c>
      <c r="F99" s="473">
        <f>SUMPRODUCT((Alcom!$A$3:$A$2399=CONCATENATE(C99,D99))*(Alcom!$K$1:$V$1=$F$5),Alcom!$K$3:$V$2399)</f>
        <v>6840</v>
      </c>
    </row>
    <row r="100" spans="1:6" outlineLevel="2">
      <c r="A100" s="106" t="s">
        <v>72</v>
      </c>
      <c r="B100" s="106" t="s">
        <v>72</v>
      </c>
      <c r="C100" s="70" t="s">
        <v>582</v>
      </c>
      <c r="D100" s="70">
        <v>1401303010</v>
      </c>
      <c r="E100" s="70" t="s">
        <v>667</v>
      </c>
      <c r="F100" s="473">
        <f>SUMPRODUCT((Alcom!$A$3:$A$2399=CONCATENATE(C100,D100))*(Alcom!$K$1:$V$1=$F$5),Alcom!$K$3:$V$2399)</f>
        <v>0</v>
      </c>
    </row>
    <row r="101" spans="1:6" outlineLevel="2">
      <c r="A101" s="106" t="s">
        <v>72</v>
      </c>
      <c r="B101" s="106" t="s">
        <v>72</v>
      </c>
      <c r="C101" s="70" t="s">
        <v>582</v>
      </c>
      <c r="D101" s="421">
        <v>1401305000</v>
      </c>
      <c r="E101" s="70" t="s">
        <v>81</v>
      </c>
      <c r="F101" s="473">
        <f>SUMPRODUCT((Alcom!$A$3:$A$2399=CONCATENATE(C101,D101))*(Alcom!$K$1:$V$1=$F$5),Alcom!$K$3:$V$2399)</f>
        <v>621641.96</v>
      </c>
    </row>
    <row r="102" spans="1:6" outlineLevel="2">
      <c r="A102" s="106" t="s">
        <v>72</v>
      </c>
      <c r="B102" s="106" t="s">
        <v>72</v>
      </c>
      <c r="C102" s="70" t="s">
        <v>582</v>
      </c>
      <c r="D102" s="70">
        <v>1401305010</v>
      </c>
      <c r="E102" s="70" t="s">
        <v>711</v>
      </c>
      <c r="F102" s="473">
        <f>SUMPRODUCT((Alcom!$A$3:$A$2399=CONCATENATE(C102,D102))*(Alcom!$K$1:$V$1=$F$5),Alcom!$K$3:$V$2399)</f>
        <v>0</v>
      </c>
    </row>
    <row r="103" spans="1:6" outlineLevel="2">
      <c r="A103" s="106" t="s">
        <v>72</v>
      </c>
      <c r="B103" s="106" t="s">
        <v>72</v>
      </c>
      <c r="C103" s="70" t="s">
        <v>582</v>
      </c>
      <c r="D103" s="70">
        <v>1451001100</v>
      </c>
      <c r="E103" s="70" t="s">
        <v>82</v>
      </c>
      <c r="F103" s="473">
        <f>SUMPRODUCT((Alcom!$A$3:$A$2399=CONCATENATE(C103,D103))*(Alcom!$K$1:$V$1=$F$5),Alcom!$K$3:$V$2399)</f>
        <v>-4656000</v>
      </c>
    </row>
    <row r="104" spans="1:6" outlineLevel="1">
      <c r="A104" s="50" t="s">
        <v>83</v>
      </c>
      <c r="B104" s="106"/>
      <c r="C104" s="70"/>
      <c r="D104" s="70"/>
      <c r="E104" s="70"/>
      <c r="F104" s="474">
        <f>SUBTOTAL(9,F84:F103)</f>
        <v>10094314.120000001</v>
      </c>
    </row>
    <row r="105" spans="1:6" outlineLevel="2">
      <c r="A105" s="119" t="s">
        <v>84</v>
      </c>
      <c r="B105" s="119" t="s">
        <v>85</v>
      </c>
      <c r="C105" s="70" t="s">
        <v>157</v>
      </c>
      <c r="D105" s="70">
        <v>2002101600</v>
      </c>
      <c r="E105" s="70" t="s">
        <v>86</v>
      </c>
      <c r="F105" s="473">
        <f>SUMPRODUCT((Alcom!$A$3:$A$2399=CONCATENATE(C105,D105))*(Alcom!$K$1:$V$1=$F$5),Alcom!$K$3:$V$2399)</f>
        <v>-99000</v>
      </c>
    </row>
    <row r="106" spans="1:6" outlineLevel="2">
      <c r="A106" s="119" t="s">
        <v>84</v>
      </c>
      <c r="B106" s="119" t="s">
        <v>85</v>
      </c>
      <c r="C106" s="70" t="s">
        <v>157</v>
      </c>
      <c r="D106" s="70">
        <v>2002101601</v>
      </c>
      <c r="E106" s="70" t="s">
        <v>87</v>
      </c>
      <c r="F106" s="473">
        <f>SUMPRODUCT((Alcom!$A$3:$A$2399=CONCATENATE(C106,D106))*(Alcom!$K$1:$V$1=$F$5),Alcom!$K$3:$V$2399)</f>
        <v>-14654</v>
      </c>
    </row>
    <row r="107" spans="1:6" outlineLevel="2">
      <c r="A107" s="119" t="s">
        <v>84</v>
      </c>
      <c r="B107" s="119" t="s">
        <v>85</v>
      </c>
      <c r="C107" s="70" t="s">
        <v>157</v>
      </c>
      <c r="D107" s="421">
        <v>2002102000</v>
      </c>
      <c r="E107" s="70" t="s">
        <v>637</v>
      </c>
      <c r="F107" s="473">
        <f>SUMPRODUCT((Alcom!$A$3:$A$2399=CONCATENATE(C107,D107))*(Alcom!$K$1:$V$1=$F$5),Alcom!$K$3:$V$2399)</f>
        <v>0</v>
      </c>
    </row>
    <row r="108" spans="1:6" outlineLevel="2">
      <c r="A108" s="119" t="s">
        <v>84</v>
      </c>
      <c r="B108" s="119" t="s">
        <v>85</v>
      </c>
      <c r="C108" s="70" t="s">
        <v>157</v>
      </c>
      <c r="D108" s="70">
        <v>2002201000</v>
      </c>
      <c r="E108" s="70" t="s">
        <v>88</v>
      </c>
      <c r="F108" s="473">
        <f>SUMPRODUCT((Alcom!$A$3:$A$2399=CONCATENATE(C108,D108))*(Alcom!$K$1:$V$1=$F$5),Alcom!$K$3:$V$2399)</f>
        <v>0</v>
      </c>
    </row>
    <row r="109" spans="1:6" outlineLevel="2">
      <c r="A109" s="119" t="s">
        <v>84</v>
      </c>
      <c r="B109" s="119" t="s">
        <v>85</v>
      </c>
      <c r="C109" s="70" t="s">
        <v>157</v>
      </c>
      <c r="D109" s="70">
        <v>2002201100</v>
      </c>
      <c r="E109" s="70" t="s">
        <v>89</v>
      </c>
      <c r="F109" s="473">
        <f>SUMPRODUCT((Alcom!$A$3:$A$2399=CONCATENATE(C109,D109))*(Alcom!$K$1:$V$1=$F$5),Alcom!$K$3:$V$2399)</f>
        <v>0</v>
      </c>
    </row>
    <row r="110" spans="1:6" outlineLevel="2">
      <c r="A110" s="119" t="s">
        <v>84</v>
      </c>
      <c r="B110" s="119" t="s">
        <v>85</v>
      </c>
      <c r="C110" s="70" t="s">
        <v>157</v>
      </c>
      <c r="D110" s="70">
        <v>2002301000</v>
      </c>
      <c r="E110" s="70" t="s">
        <v>599</v>
      </c>
      <c r="F110" s="473">
        <f>SUMPRODUCT((Alcom!$A$3:$A$2399=CONCATENATE(C110,D110))*(Alcom!$K$1:$V$1=$F$5),Alcom!$K$3:$V$2399)</f>
        <v>0</v>
      </c>
    </row>
    <row r="111" spans="1:6" outlineLevel="2">
      <c r="A111" s="119" t="s">
        <v>84</v>
      </c>
      <c r="B111" s="119" t="s">
        <v>85</v>
      </c>
      <c r="C111" s="70" t="s">
        <v>157</v>
      </c>
      <c r="D111" s="70">
        <v>2031201400</v>
      </c>
      <c r="E111" s="70" t="s">
        <v>90</v>
      </c>
      <c r="F111" s="473">
        <f>SUMPRODUCT((Alcom!$A$3:$A$2399=CONCATENATE(C111,D111))*(Alcom!$K$1:$V$1=$F$5),Alcom!$K$3:$V$2399)</f>
        <v>-70000</v>
      </c>
    </row>
    <row r="112" spans="1:6" outlineLevel="2">
      <c r="A112" s="119" t="s">
        <v>84</v>
      </c>
      <c r="B112" s="119" t="s">
        <v>85</v>
      </c>
      <c r="C112" s="70" t="s">
        <v>157</v>
      </c>
      <c r="D112" s="70">
        <v>2031201401</v>
      </c>
      <c r="E112" s="70" t="s">
        <v>91</v>
      </c>
      <c r="F112" s="473">
        <f>SUMPRODUCT((Alcom!$A$3:$A$2399=CONCATENATE(C112,D112))*(Alcom!$K$1:$V$1=$F$5),Alcom!$K$3:$V$2399)</f>
        <v>0</v>
      </c>
    </row>
    <row r="113" spans="1:6" outlineLevel="2">
      <c r="A113" s="119" t="s">
        <v>84</v>
      </c>
      <c r="B113" s="119" t="s">
        <v>85</v>
      </c>
      <c r="C113" s="70" t="s">
        <v>582</v>
      </c>
      <c r="D113" s="70">
        <v>2031201500</v>
      </c>
      <c r="E113" s="70" t="s">
        <v>570</v>
      </c>
      <c r="F113" s="473">
        <f>SUMPRODUCT((Alcom!$A$3:$A$2399=CONCATENATE(C113,D113))*(Alcom!$K$1:$V$1=$F$5),Alcom!$K$3:$V$2399)</f>
        <v>0</v>
      </c>
    </row>
    <row r="114" spans="1:6" outlineLevel="2">
      <c r="A114" s="119" t="s">
        <v>84</v>
      </c>
      <c r="B114" s="119" t="s">
        <v>85</v>
      </c>
      <c r="C114" s="70" t="s">
        <v>157</v>
      </c>
      <c r="D114" s="70">
        <v>2031202000</v>
      </c>
      <c r="E114" s="70" t="s">
        <v>92</v>
      </c>
      <c r="F114" s="473">
        <f>SUMPRODUCT((Alcom!$A$3:$A$2399=CONCATENATE(C114,D114))*(Alcom!$K$1:$V$1=$F$5),Alcom!$K$3:$V$2399)</f>
        <v>-23040.91</v>
      </c>
    </row>
    <row r="115" spans="1:6" outlineLevel="2">
      <c r="A115" s="119" t="s">
        <v>84</v>
      </c>
      <c r="B115" s="119" t="s">
        <v>85</v>
      </c>
      <c r="C115" s="70" t="s">
        <v>157</v>
      </c>
      <c r="D115" s="70">
        <v>2031203100</v>
      </c>
      <c r="E115" s="70" t="s">
        <v>93</v>
      </c>
      <c r="F115" s="473">
        <f>SUMPRODUCT((Alcom!$A$3:$A$2399=CONCATENATE(C115,D115))*(Alcom!$K$1:$V$1=$F$5),Alcom!$K$3:$V$2399)</f>
        <v>0</v>
      </c>
    </row>
    <row r="116" spans="1:6" outlineLevel="2">
      <c r="A116" s="119" t="s">
        <v>84</v>
      </c>
      <c r="B116" s="119" t="s">
        <v>85</v>
      </c>
      <c r="C116" s="70" t="s">
        <v>157</v>
      </c>
      <c r="D116" s="70">
        <v>2031900000</v>
      </c>
      <c r="E116" s="70" t="s">
        <v>94</v>
      </c>
      <c r="F116" s="473">
        <f>SUMPRODUCT((Alcom!$A$3:$A$2399=CONCATENATE(C116,D116))*(Alcom!$K$1:$V$1=$F$5),Alcom!$K$3:$V$2399)</f>
        <v>-33950</v>
      </c>
    </row>
    <row r="117" spans="1:6" outlineLevel="2">
      <c r="A117" s="119" t="s">
        <v>84</v>
      </c>
      <c r="B117" s="119" t="s">
        <v>95</v>
      </c>
      <c r="C117" s="70" t="s">
        <v>157</v>
      </c>
      <c r="D117" s="70">
        <v>1301601000</v>
      </c>
      <c r="E117" s="70" t="s">
        <v>96</v>
      </c>
      <c r="F117" s="473">
        <f>SUMPRODUCT((Alcom!$A$3:$A$2399=CONCATENATE(C117,D117))*(Alcom!$K$1:$V$1=$F$5),Alcom!$K$3:$V$2399)</f>
        <v>-3550</v>
      </c>
    </row>
    <row r="118" spans="1:6" outlineLevel="2">
      <c r="A118" s="119" t="s">
        <v>84</v>
      </c>
      <c r="B118" s="119" t="s">
        <v>95</v>
      </c>
      <c r="C118" s="70" t="s">
        <v>157</v>
      </c>
      <c r="D118" s="70">
        <v>1301601600</v>
      </c>
      <c r="E118" s="70" t="s">
        <v>97</v>
      </c>
      <c r="F118" s="473">
        <f>SUMPRODUCT((Alcom!$A$3:$A$2399=CONCATENATE(C118,D118))*(Alcom!$K$1:$V$1=$F$5),Alcom!$K$3:$V$2399)</f>
        <v>-25000</v>
      </c>
    </row>
    <row r="119" spans="1:6" outlineLevel="2">
      <c r="A119" s="119" t="s">
        <v>84</v>
      </c>
      <c r="B119" s="119" t="s">
        <v>95</v>
      </c>
      <c r="C119" s="70" t="s">
        <v>157</v>
      </c>
      <c r="D119" s="70">
        <v>2042000000</v>
      </c>
      <c r="E119" s="70" t="s">
        <v>98</v>
      </c>
      <c r="F119" s="473">
        <f>SUMPRODUCT((Alcom!$A$3:$A$2399=CONCATENATE(C119,D119))*(Alcom!$K$1:$V$1=$F$5),Alcom!$K$3:$V$2399)</f>
        <v>-232726</v>
      </c>
    </row>
    <row r="120" spans="1:6" outlineLevel="2">
      <c r="A120" s="119" t="s">
        <v>84</v>
      </c>
      <c r="B120" s="119" t="s">
        <v>99</v>
      </c>
      <c r="C120" s="70" t="s">
        <v>157</v>
      </c>
      <c r="D120" s="70">
        <v>2001000001</v>
      </c>
      <c r="E120" s="70" t="s">
        <v>100</v>
      </c>
      <c r="F120" s="473">
        <f>SUMPRODUCT((Alcom!$A$3:$A$2399=CONCATENATE(C120,D120))*(Alcom!$K$1:$V$1=$F$5),Alcom!$K$3:$V$2399)</f>
        <v>-1893355.4</v>
      </c>
    </row>
    <row r="121" spans="1:6" outlineLevel="2">
      <c r="A121" s="119" t="s">
        <v>84</v>
      </c>
      <c r="B121" s="119" t="s">
        <v>99</v>
      </c>
      <c r="C121" s="70" t="s">
        <v>157</v>
      </c>
      <c r="D121" s="70">
        <v>2001000002</v>
      </c>
      <c r="E121" s="70" t="s">
        <v>101</v>
      </c>
      <c r="F121" s="473">
        <f>SUMPRODUCT((Alcom!$A$3:$A$2399=CONCATENATE(C121,D121))*(Alcom!$K$1:$V$1=$F$5),Alcom!$K$3:$V$2399)</f>
        <v>-1001618.57</v>
      </c>
    </row>
    <row r="122" spans="1:6" outlineLevel="2">
      <c r="A122" s="119" t="s">
        <v>84</v>
      </c>
      <c r="B122" s="119" t="s">
        <v>99</v>
      </c>
      <c r="C122" s="70" t="s">
        <v>157</v>
      </c>
      <c r="D122" s="421">
        <v>2001800000</v>
      </c>
      <c r="E122" s="70" t="s">
        <v>638</v>
      </c>
      <c r="F122" s="473">
        <f>SUMPRODUCT((Alcom!$A$3:$A$2399=CONCATENATE(C122,D122))*(Alcom!$K$1:$V$1=$F$5),Alcom!$K$3:$V$2399)</f>
        <v>0</v>
      </c>
    </row>
    <row r="123" spans="1:6" outlineLevel="2">
      <c r="A123" s="119" t="s">
        <v>84</v>
      </c>
      <c r="B123" s="119" t="s">
        <v>99</v>
      </c>
      <c r="C123" s="70" t="s">
        <v>157</v>
      </c>
      <c r="D123" s="421">
        <v>2031202300</v>
      </c>
      <c r="E123" s="70" t="s">
        <v>102</v>
      </c>
      <c r="F123" s="473">
        <f>SUMPRODUCT((Alcom!$A$3:$A$2399=CONCATENATE(C123,D123))*(Alcom!$K$1:$V$1=$F$5),Alcom!$K$3:$V$2399)</f>
        <v>-4496498.9400000004</v>
      </c>
    </row>
    <row r="124" spans="1:6" outlineLevel="2">
      <c r="A124" s="119" t="s">
        <v>84</v>
      </c>
      <c r="B124" s="119" t="s">
        <v>99</v>
      </c>
      <c r="C124" s="70" t="s">
        <v>157</v>
      </c>
      <c r="D124" s="421">
        <v>2031202310</v>
      </c>
      <c r="E124" s="70" t="s">
        <v>830</v>
      </c>
      <c r="F124" s="473">
        <f>SUMPRODUCT((Alcom!$A$3:$A$2399=CONCATENATE(C124,D124))*(Alcom!$K$1:$V$1=$F$5),Alcom!$K$3:$V$2399)</f>
        <v>0</v>
      </c>
    </row>
    <row r="125" spans="1:6" outlineLevel="2">
      <c r="A125" s="119" t="s">
        <v>84</v>
      </c>
      <c r="B125" s="119" t="s">
        <v>99</v>
      </c>
      <c r="C125" s="70" t="s">
        <v>582</v>
      </c>
      <c r="D125" s="421">
        <v>2032600000</v>
      </c>
      <c r="E125" s="70" t="s">
        <v>103</v>
      </c>
      <c r="F125" s="473">
        <f>SUMPRODUCT((Alcom!$A$3:$A$2399=CONCATENATE(C125,D125))*(Alcom!$K$1:$V$1=$F$5),Alcom!$K$3:$V$2399)</f>
        <v>-615045.12</v>
      </c>
    </row>
    <row r="126" spans="1:6" outlineLevel="2">
      <c r="A126" s="119" t="s">
        <v>84</v>
      </c>
      <c r="B126" s="119" t="s">
        <v>104</v>
      </c>
      <c r="C126" s="70" t="s">
        <v>157</v>
      </c>
      <c r="D126" s="421">
        <v>1311301000</v>
      </c>
      <c r="E126" s="70" t="s">
        <v>105</v>
      </c>
      <c r="F126" s="473">
        <f>SUMPRODUCT((Alcom!$A$3:$A$2399=CONCATENATE(C126,D126))*(Alcom!$K$1:$V$1=$F$5),Alcom!$K$3:$V$2399)</f>
        <v>-482329</v>
      </c>
    </row>
    <row r="127" spans="1:6" outlineLevel="2">
      <c r="A127" s="119" t="s">
        <v>84</v>
      </c>
      <c r="B127" s="119" t="s">
        <v>104</v>
      </c>
      <c r="C127" s="70" t="s">
        <v>157</v>
      </c>
      <c r="D127" s="421">
        <v>1311301100</v>
      </c>
      <c r="E127" s="70" t="s">
        <v>106</v>
      </c>
      <c r="F127" s="473">
        <f>SUMPRODUCT((Alcom!$A$3:$A$2399=CONCATENATE(C127,D127))*(Alcom!$K$1:$V$1=$F$5),Alcom!$K$3:$V$2399)</f>
        <v>-129559.53</v>
      </c>
    </row>
    <row r="128" spans="1:6" outlineLevel="2">
      <c r="A128" s="119" t="s">
        <v>84</v>
      </c>
      <c r="B128" s="119" t="s">
        <v>104</v>
      </c>
      <c r="C128" s="70" t="s">
        <v>157</v>
      </c>
      <c r="D128" s="421">
        <v>1311301300</v>
      </c>
      <c r="E128" s="70" t="s">
        <v>107</v>
      </c>
      <c r="F128" s="473">
        <f>SUMPRODUCT((Alcom!$A$3:$A$2399=CONCATENATE(C128,D128))*(Alcom!$K$1:$V$1=$F$5),Alcom!$K$3:$V$2399)</f>
        <v>-196045.69</v>
      </c>
    </row>
    <row r="129" spans="1:6" outlineLevel="2">
      <c r="A129" s="119" t="s">
        <v>84</v>
      </c>
      <c r="B129" s="119" t="s">
        <v>104</v>
      </c>
      <c r="C129" s="70" t="s">
        <v>157</v>
      </c>
      <c r="D129" s="421">
        <v>2001900000</v>
      </c>
      <c r="E129" s="70" t="s">
        <v>108</v>
      </c>
      <c r="F129" s="473">
        <f>SUMPRODUCT((Alcom!$A$3:$A$2399=CONCATENATE(C129,D129))*(Alcom!$K$1:$V$1=$F$5),Alcom!$K$3:$V$2399)</f>
        <v>8980.35</v>
      </c>
    </row>
    <row r="130" spans="1:6" outlineLevel="2">
      <c r="A130" s="119" t="s">
        <v>84</v>
      </c>
      <c r="B130" s="119" t="s">
        <v>104</v>
      </c>
      <c r="C130" s="70" t="s">
        <v>157</v>
      </c>
      <c r="D130" s="421">
        <v>2002001000</v>
      </c>
      <c r="E130" s="70" t="s">
        <v>567</v>
      </c>
      <c r="F130" s="473">
        <f>SUMPRODUCT((Alcom!$A$3:$A$2399=CONCATENATE(C130,D130))*(Alcom!$K$1:$V$1=$F$5),Alcom!$K$3:$V$2399)</f>
        <v>-2056.65</v>
      </c>
    </row>
    <row r="131" spans="1:6" outlineLevel="2">
      <c r="A131" s="119" t="s">
        <v>84</v>
      </c>
      <c r="B131" s="119" t="s">
        <v>104</v>
      </c>
      <c r="C131" s="70" t="s">
        <v>157</v>
      </c>
      <c r="D131" s="421">
        <v>2002001010</v>
      </c>
      <c r="E131" s="70" t="s">
        <v>109</v>
      </c>
      <c r="F131" s="473">
        <f>SUMPRODUCT((Alcom!$A$3:$A$2399=CONCATENATE(C131,D131))*(Alcom!$K$1:$V$1=$F$5),Alcom!$K$3:$V$2399)</f>
        <v>0</v>
      </c>
    </row>
    <row r="132" spans="1:6" outlineLevel="2">
      <c r="A132" s="119" t="s">
        <v>84</v>
      </c>
      <c r="B132" s="119" t="s">
        <v>104</v>
      </c>
      <c r="C132" s="70" t="s">
        <v>157</v>
      </c>
      <c r="D132" s="421">
        <v>2002001011</v>
      </c>
      <c r="E132" s="70" t="s">
        <v>110</v>
      </c>
      <c r="F132" s="473">
        <f>SUMPRODUCT((Alcom!$A$3:$A$2399=CONCATENATE(C132,D132))*(Alcom!$K$1:$V$1=$F$5),Alcom!$K$3:$V$2399)</f>
        <v>-43575.12</v>
      </c>
    </row>
    <row r="133" spans="1:6" outlineLevel="2">
      <c r="A133" s="119" t="s">
        <v>84</v>
      </c>
      <c r="B133" s="119" t="s">
        <v>104</v>
      </c>
      <c r="C133" s="70" t="s">
        <v>157</v>
      </c>
      <c r="D133" s="421">
        <v>2002001012</v>
      </c>
      <c r="E133" s="70" t="s">
        <v>632</v>
      </c>
      <c r="F133" s="473">
        <f>SUMPRODUCT((Alcom!$A$3:$A$2399=CONCATENATE(C133,D133))*(Alcom!$K$1:$V$1=$F$5),Alcom!$K$3:$V$2399)</f>
        <v>0</v>
      </c>
    </row>
    <row r="134" spans="1:6" outlineLevel="2">
      <c r="A134" s="119" t="s">
        <v>84</v>
      </c>
      <c r="B134" s="119" t="s">
        <v>104</v>
      </c>
      <c r="C134" s="70" t="s">
        <v>157</v>
      </c>
      <c r="D134" s="421">
        <v>2002001100</v>
      </c>
      <c r="E134" s="70" t="s">
        <v>586</v>
      </c>
      <c r="F134" s="473">
        <f>SUMPRODUCT((Alcom!$A$3:$A$2399=CONCATENATE(C134,D134))*(Alcom!$K$1:$V$1=$F$5),Alcom!$K$3:$V$2399)</f>
        <v>-622.07000000000005</v>
      </c>
    </row>
    <row r="135" spans="1:6" outlineLevel="2">
      <c r="A135" s="119" t="s">
        <v>84</v>
      </c>
      <c r="B135" s="119" t="s">
        <v>104</v>
      </c>
      <c r="C135" s="70" t="s">
        <v>157</v>
      </c>
      <c r="D135" s="421">
        <v>2002001110</v>
      </c>
      <c r="E135" s="70" t="s">
        <v>111</v>
      </c>
      <c r="F135" s="473">
        <f>SUMPRODUCT((Alcom!$A$3:$A$2399=CONCATENATE(C135,D135))*(Alcom!$K$1:$V$1=$F$5),Alcom!$K$3:$V$2399)</f>
        <v>0</v>
      </c>
    </row>
    <row r="136" spans="1:6" outlineLevel="2">
      <c r="A136" s="119" t="s">
        <v>84</v>
      </c>
      <c r="B136" s="119" t="s">
        <v>104</v>
      </c>
      <c r="C136" s="70" t="s">
        <v>157</v>
      </c>
      <c r="D136" s="421">
        <v>2002001111</v>
      </c>
      <c r="E136" s="70" t="s">
        <v>112</v>
      </c>
      <c r="F136" s="473">
        <f>SUMPRODUCT((Alcom!$A$3:$A$2399=CONCATENATE(C136,D136))*(Alcom!$K$1:$V$1=$F$5),Alcom!$K$3:$V$2399)</f>
        <v>-8762.7199999999993</v>
      </c>
    </row>
    <row r="137" spans="1:6" outlineLevel="2">
      <c r="A137" s="119" t="s">
        <v>84</v>
      </c>
      <c r="B137" s="119" t="s">
        <v>104</v>
      </c>
      <c r="C137" s="70" t="s">
        <v>157</v>
      </c>
      <c r="D137" s="70">
        <v>2002001200</v>
      </c>
      <c r="E137" s="70" t="s">
        <v>568</v>
      </c>
      <c r="F137" s="473">
        <f>SUMPRODUCT((Alcom!$A$3:$A$2399=CONCATENATE(C137,D137))*(Alcom!$K$1:$V$1=$F$5),Alcom!$K$3:$V$2399)</f>
        <v>-685751.96</v>
      </c>
    </row>
    <row r="138" spans="1:6" outlineLevel="2">
      <c r="A138" s="119" t="s">
        <v>84</v>
      </c>
      <c r="B138" s="119" t="s">
        <v>104</v>
      </c>
      <c r="C138" s="70" t="s">
        <v>157</v>
      </c>
      <c r="D138" s="70">
        <v>2002001210</v>
      </c>
      <c r="E138" s="70" t="s">
        <v>113</v>
      </c>
      <c r="F138" s="473">
        <f>SUMPRODUCT((Alcom!$A$3:$A$2399=CONCATENATE(C138,D138))*(Alcom!$K$1:$V$1=$F$5),Alcom!$K$3:$V$2399)</f>
        <v>12927.5</v>
      </c>
    </row>
    <row r="139" spans="1:6" outlineLevel="2">
      <c r="A139" s="119" t="s">
        <v>84</v>
      </c>
      <c r="B139" s="119" t="s">
        <v>104</v>
      </c>
      <c r="C139" s="70" t="s">
        <v>157</v>
      </c>
      <c r="D139" s="70">
        <v>2002001300</v>
      </c>
      <c r="E139" s="70" t="s">
        <v>114</v>
      </c>
      <c r="F139" s="473">
        <f>SUMPRODUCT((Alcom!$A$3:$A$2399=CONCATENATE(C139,D139))*(Alcom!$K$1:$V$1=$F$5),Alcom!$K$3:$V$2399)</f>
        <v>-726835.49</v>
      </c>
    </row>
    <row r="140" spans="1:6" outlineLevel="2">
      <c r="A140" s="119" t="s">
        <v>84</v>
      </c>
      <c r="B140" s="119" t="s">
        <v>104</v>
      </c>
      <c r="C140" s="70" t="s">
        <v>157</v>
      </c>
      <c r="D140" s="70">
        <v>2002001310</v>
      </c>
      <c r="E140" s="70" t="s">
        <v>115</v>
      </c>
      <c r="F140" s="473">
        <f>SUMPRODUCT((Alcom!$A$3:$A$2399=CONCATENATE(C140,D140))*(Alcom!$K$1:$V$1=$F$5),Alcom!$K$3:$V$2399)</f>
        <v>-96763.409999999989</v>
      </c>
    </row>
    <row r="141" spans="1:6" outlineLevel="2">
      <c r="A141" s="119" t="s">
        <v>84</v>
      </c>
      <c r="B141" s="119" t="s">
        <v>104</v>
      </c>
      <c r="C141" s="70" t="s">
        <v>157</v>
      </c>
      <c r="D141" s="70">
        <v>2002001311</v>
      </c>
      <c r="E141" s="70" t="s">
        <v>116</v>
      </c>
      <c r="F141" s="473">
        <f>SUMPRODUCT((Alcom!$A$3:$A$2399=CONCATENATE(C141,D141))*(Alcom!$K$1:$V$1=$F$5),Alcom!$K$3:$V$2399)</f>
        <v>-207984.18</v>
      </c>
    </row>
    <row r="142" spans="1:6" outlineLevel="2">
      <c r="A142" s="119" t="s">
        <v>84</v>
      </c>
      <c r="B142" s="119" t="s">
        <v>104</v>
      </c>
      <c r="C142" s="70" t="s">
        <v>157</v>
      </c>
      <c r="D142" s="70">
        <v>2002001400</v>
      </c>
      <c r="E142" s="70" t="s">
        <v>243</v>
      </c>
      <c r="F142" s="473">
        <f>SUMPRODUCT((Alcom!$A$3:$A$2399=CONCATENATE(C142,D142))*(Alcom!$K$1:$V$1=$F$5),Alcom!$K$3:$V$2399)</f>
        <v>0</v>
      </c>
    </row>
    <row r="143" spans="1:6" outlineLevel="2">
      <c r="A143" s="119" t="s">
        <v>84</v>
      </c>
      <c r="B143" s="119" t="s">
        <v>104</v>
      </c>
      <c r="C143" s="70" t="s">
        <v>157</v>
      </c>
      <c r="D143" s="70">
        <v>2002001500</v>
      </c>
      <c r="E143" s="70" t="s">
        <v>600</v>
      </c>
      <c r="F143" s="473">
        <f>SUMPRODUCT((Alcom!$A$3:$A$2399=CONCATENATE(C143,D143))*(Alcom!$K$1:$V$1=$F$5),Alcom!$K$3:$V$2399)</f>
        <v>0</v>
      </c>
    </row>
    <row r="144" spans="1:6" outlineLevel="2">
      <c r="A144" s="119" t="s">
        <v>84</v>
      </c>
      <c r="B144" s="119" t="s">
        <v>104</v>
      </c>
      <c r="C144" s="70" t="s">
        <v>157</v>
      </c>
      <c r="D144" s="70">
        <v>2002001510</v>
      </c>
      <c r="E144" s="70" t="s">
        <v>601</v>
      </c>
      <c r="F144" s="473">
        <f>SUMPRODUCT((Alcom!$A$3:$A$2399=CONCATENATE(C144,D144))*(Alcom!$K$1:$V$1=$F$5),Alcom!$K$3:$V$2399)</f>
        <v>0</v>
      </c>
    </row>
    <row r="145" spans="1:7" outlineLevel="2">
      <c r="A145" s="119" t="s">
        <v>84</v>
      </c>
      <c r="B145" s="119" t="s">
        <v>104</v>
      </c>
      <c r="C145" s="70" t="s">
        <v>157</v>
      </c>
      <c r="D145" s="421">
        <v>2002001710</v>
      </c>
      <c r="E145" s="70" t="s">
        <v>665</v>
      </c>
      <c r="F145" s="473">
        <f>SUMPRODUCT((Alcom!$A$3:$A$2399=CONCATENATE(C145,D145))*(Alcom!$K$1:$V$1=$F$5),Alcom!$K$3:$V$2399)</f>
        <v>0</v>
      </c>
    </row>
    <row r="146" spans="1:7" outlineLevel="2">
      <c r="A146" s="119" t="s">
        <v>84</v>
      </c>
      <c r="B146" s="119" t="s">
        <v>104</v>
      </c>
      <c r="C146" s="70" t="s">
        <v>157</v>
      </c>
      <c r="D146" s="421">
        <v>2002002000</v>
      </c>
      <c r="E146" s="70" t="s">
        <v>117</v>
      </c>
      <c r="F146" s="473">
        <f>SUMPRODUCT((Alcom!$A$3:$A$2399=CONCATENATE(C146,D146))*(Alcom!$K$1:$V$1=$F$5),Alcom!$K$3:$V$2399)</f>
        <v>-33522.57</v>
      </c>
    </row>
    <row r="147" spans="1:7" outlineLevel="2">
      <c r="A147" s="119" t="s">
        <v>84</v>
      </c>
      <c r="B147" s="119" t="s">
        <v>104</v>
      </c>
      <c r="C147" s="70" t="s">
        <v>157</v>
      </c>
      <c r="D147" s="421">
        <v>2002003000</v>
      </c>
      <c r="E147" s="70" t="s">
        <v>244</v>
      </c>
      <c r="F147" s="473">
        <f>SUMPRODUCT((Alcom!$A$3:$A$2399=CONCATENATE(C147,D147))*(Alcom!$K$1:$V$1=$F$5),Alcom!$K$3:$V$2399)</f>
        <v>-168000</v>
      </c>
    </row>
    <row r="148" spans="1:7" outlineLevel="2">
      <c r="A148" s="119" t="s">
        <v>84</v>
      </c>
      <c r="B148" s="119" t="s">
        <v>104</v>
      </c>
      <c r="C148" s="70" t="s">
        <v>157</v>
      </c>
      <c r="D148" s="421">
        <v>2002003100</v>
      </c>
      <c r="E148" s="70" t="s">
        <v>764</v>
      </c>
      <c r="F148" s="473">
        <f>SUMPRODUCT((Alcom!$A$3:$A$2399=CONCATENATE(C148,D148))*(Alcom!$K$1:$V$1=$F$5),Alcom!$K$3:$V$2399)</f>
        <v>-592635.86</v>
      </c>
    </row>
    <row r="149" spans="1:7" outlineLevel="2">
      <c r="A149" s="119" t="s">
        <v>84</v>
      </c>
      <c r="B149" s="119" t="s">
        <v>104</v>
      </c>
      <c r="C149" s="70" t="s">
        <v>157</v>
      </c>
      <c r="D149" s="421">
        <v>2002003110</v>
      </c>
      <c r="E149" s="70" t="s">
        <v>765</v>
      </c>
      <c r="F149" s="473">
        <f>SUMPRODUCT((Alcom!$A$3:$A$2399=CONCATENATE(C149,D149))*(Alcom!$K$1:$V$1=$F$5),Alcom!$K$3:$V$2399)</f>
        <v>-8674.52</v>
      </c>
    </row>
    <row r="150" spans="1:7" outlineLevel="2">
      <c r="A150" s="119" t="s">
        <v>84</v>
      </c>
      <c r="B150" s="119" t="s">
        <v>104</v>
      </c>
      <c r="C150" s="70" t="s">
        <v>157</v>
      </c>
      <c r="D150" s="421">
        <v>2002101400</v>
      </c>
      <c r="E150" s="70" t="s">
        <v>625</v>
      </c>
      <c r="F150" s="473">
        <f>SUMPRODUCT((Alcom!$A$3:$A$2399=CONCATENATE(C150,D150))*(Alcom!$K$1:$V$1=$F$5),Alcom!$K$3:$V$2399)</f>
        <v>0</v>
      </c>
    </row>
    <row r="151" spans="1:7" outlineLevel="2">
      <c r="A151" s="119" t="s">
        <v>84</v>
      </c>
      <c r="B151" s="119" t="s">
        <v>104</v>
      </c>
      <c r="C151" s="70" t="s">
        <v>157</v>
      </c>
      <c r="D151" s="421">
        <v>2002101500</v>
      </c>
      <c r="E151" s="70" t="s">
        <v>725</v>
      </c>
      <c r="F151" s="473">
        <f>SUMPRODUCT((Alcom!$A$3:$A$2399=CONCATENATE(C151,D151))*(Alcom!$K$1:$V$1=$F$5),Alcom!$K$3:$V$2399)</f>
        <v>0</v>
      </c>
    </row>
    <row r="152" spans="1:7" outlineLevel="2">
      <c r="A152" s="119" t="s">
        <v>84</v>
      </c>
      <c r="B152" s="119" t="s">
        <v>104</v>
      </c>
      <c r="C152" s="70" t="s">
        <v>157</v>
      </c>
      <c r="D152" s="421">
        <v>2002101800</v>
      </c>
      <c r="E152" s="70" t="s">
        <v>718</v>
      </c>
      <c r="F152" s="473">
        <f>SUMPRODUCT((Alcom!$A$3:$A$2399=CONCATENATE(C152,D152))*(Alcom!$K$1:$V$1=$F$5),Alcom!$K$3:$V$2399)</f>
        <v>0</v>
      </c>
    </row>
    <row r="153" spans="1:7" outlineLevel="2">
      <c r="A153" s="119" t="s">
        <v>84</v>
      </c>
      <c r="B153" s="119" t="s">
        <v>104</v>
      </c>
      <c r="C153" s="70" t="s">
        <v>157</v>
      </c>
      <c r="D153" s="421">
        <v>2031200000</v>
      </c>
      <c r="E153" s="70" t="s">
        <v>664</v>
      </c>
      <c r="F153" s="473">
        <f>SUMPRODUCT((Alcom!$A$3:$A$2399=CONCATENATE(C153,D153))*(Alcom!$K$1:$V$1=$F$5),Alcom!$K$3:$V$2399)</f>
        <v>0</v>
      </c>
    </row>
    <row r="154" spans="1:7" outlineLevel="2">
      <c r="A154" s="119" t="s">
        <v>84</v>
      </c>
      <c r="B154" s="119" t="s">
        <v>124</v>
      </c>
      <c r="C154" s="70" t="s">
        <v>157</v>
      </c>
      <c r="D154" s="421">
        <v>2031201110</v>
      </c>
      <c r="E154" s="70" t="s">
        <v>125</v>
      </c>
      <c r="F154" s="473">
        <f>SUMPRODUCT((Alcom!$A$3:$A$2399=CONCATENATE(C154,D154))*(Alcom!$K$1:$V$1=$F$5),Alcom!$K$3:$V$2399)</f>
        <v>0</v>
      </c>
    </row>
    <row r="155" spans="1:7" outlineLevel="2">
      <c r="A155" s="119" t="s">
        <v>84</v>
      </c>
      <c r="B155" s="119" t="s">
        <v>124</v>
      </c>
      <c r="C155" s="70" t="s">
        <v>157</v>
      </c>
      <c r="D155" s="421">
        <v>2031201111</v>
      </c>
      <c r="E155" s="70" t="s">
        <v>126</v>
      </c>
      <c r="F155" s="473">
        <f>SUMPRODUCT((Alcom!$A$3:$A$2399=CONCATENATE(C155,D155))*(Alcom!$K$1:$V$1=$F$5),Alcom!$K$3:$V$2399)</f>
        <v>0</v>
      </c>
    </row>
    <row r="156" spans="1:7" outlineLevel="2">
      <c r="A156" s="119" t="s">
        <v>84</v>
      </c>
      <c r="B156" s="119" t="s">
        <v>124</v>
      </c>
      <c r="C156" s="70" t="s">
        <v>582</v>
      </c>
      <c r="D156" s="421">
        <v>2031202110</v>
      </c>
      <c r="E156" s="70" t="s">
        <v>127</v>
      </c>
      <c r="F156" s="473">
        <f>SUMPRODUCT((Alcom!$A$3:$A$2399=CONCATENATE(C156,D156))*(Alcom!$K$1:$V$1=$F$5),Alcom!$K$3:$V$2399)</f>
        <v>0</v>
      </c>
      <c r="G156" s="439"/>
    </row>
    <row r="157" spans="1:7" outlineLevel="2">
      <c r="A157" s="119" t="s">
        <v>84</v>
      </c>
      <c r="B157" s="119" t="s">
        <v>124</v>
      </c>
      <c r="C157" s="70" t="s">
        <v>582</v>
      </c>
      <c r="D157" s="421">
        <v>2031202400</v>
      </c>
      <c r="E157" s="70" t="s">
        <v>128</v>
      </c>
      <c r="F157" s="473">
        <f>SUMPRODUCT((Alcom!$A$3:$A$2399=CONCATENATE(C157,D157))*(Alcom!$K$1:$V$1=$F$5),Alcom!$K$3:$V$2399)</f>
        <v>0</v>
      </c>
      <c r="G157" s="439"/>
    </row>
    <row r="158" spans="1:7" outlineLevel="2">
      <c r="A158" s="119" t="s">
        <v>84</v>
      </c>
      <c r="B158" s="119" t="s">
        <v>124</v>
      </c>
      <c r="C158" s="70" t="s">
        <v>582</v>
      </c>
      <c r="D158" s="421">
        <v>2031202800</v>
      </c>
      <c r="E158" s="70" t="s">
        <v>129</v>
      </c>
      <c r="F158" s="473">
        <f>SUMPRODUCT((Alcom!$A$3:$A$2399=CONCATENATE(C158,D158))*(Alcom!$K$1:$V$1=$F$5),Alcom!$K$3:$V$2399)</f>
        <v>-206000</v>
      </c>
      <c r="G158" s="439"/>
    </row>
    <row r="159" spans="1:7" outlineLevel="2">
      <c r="A159" s="119" t="s">
        <v>84</v>
      </c>
      <c r="B159" s="119" t="s">
        <v>124</v>
      </c>
      <c r="C159" s="70" t="s">
        <v>582</v>
      </c>
      <c r="D159" s="421">
        <v>2031203300</v>
      </c>
      <c r="E159" s="70" t="s">
        <v>130</v>
      </c>
      <c r="F159" s="473">
        <f>SUMPRODUCT((Alcom!$A$3:$A$2399=CONCATENATE(C159,D159))*(Alcom!$K$1:$V$1=$F$5),Alcom!$K$3:$V$2399)</f>
        <v>-293000</v>
      </c>
      <c r="G159" s="439"/>
    </row>
    <row r="160" spans="1:7" outlineLevel="2">
      <c r="A160" s="119" t="s">
        <v>84</v>
      </c>
      <c r="B160" s="119" t="s">
        <v>124</v>
      </c>
      <c r="C160" s="70" t="s">
        <v>582</v>
      </c>
      <c r="D160" s="421">
        <v>2031300000</v>
      </c>
      <c r="E160" s="70" t="s">
        <v>131</v>
      </c>
      <c r="F160" s="473">
        <f>SUMPRODUCT((Alcom!$A$3:$A$2399=CONCATENATE(C160,D160))*(Alcom!$K$1:$V$1=$F$5),Alcom!$K$3:$V$2399)</f>
        <v>-51857.16</v>
      </c>
      <c r="G160" s="439"/>
    </row>
    <row r="161" spans="1:7" outlineLevel="2">
      <c r="A161" s="119" t="s">
        <v>84</v>
      </c>
      <c r="B161" s="119" t="s">
        <v>124</v>
      </c>
      <c r="C161" s="70" t="s">
        <v>582</v>
      </c>
      <c r="D161" s="421">
        <v>2031501000</v>
      </c>
      <c r="E161" s="70" t="s">
        <v>132</v>
      </c>
      <c r="F161" s="473">
        <f>SUMPRODUCT((Alcom!$A$3:$A$2399=CONCATENATE(C161,D161))*(Alcom!$K$1:$V$1=$F$5),Alcom!$K$3:$V$2399)</f>
        <v>-47452.34</v>
      </c>
      <c r="G161" s="439"/>
    </row>
    <row r="162" spans="1:7" outlineLevel="2">
      <c r="A162" s="119" t="s">
        <v>84</v>
      </c>
      <c r="B162" s="119" t="s">
        <v>124</v>
      </c>
      <c r="C162" s="70" t="s">
        <v>582</v>
      </c>
      <c r="D162" s="421">
        <v>2031501200</v>
      </c>
      <c r="E162" s="70" t="s">
        <v>133</v>
      </c>
      <c r="F162" s="473">
        <f>SUMPRODUCT((Alcom!$A$3:$A$2399=CONCATENATE(C162,D162))*(Alcom!$K$1:$V$1=$F$5),Alcom!$K$3:$V$2399)</f>
        <v>-7106.83</v>
      </c>
      <c r="G162" s="439"/>
    </row>
    <row r="163" spans="1:7" outlineLevel="2">
      <c r="A163" s="119" t="s">
        <v>84</v>
      </c>
      <c r="B163" s="119" t="s">
        <v>124</v>
      </c>
      <c r="C163" s="70" t="s">
        <v>582</v>
      </c>
      <c r="D163" s="421">
        <v>2031700000</v>
      </c>
      <c r="E163" s="70" t="s">
        <v>134</v>
      </c>
      <c r="F163" s="473">
        <f>SUMPRODUCT((Alcom!$A$3:$A$2399=CONCATENATE(C163,D163))*(Alcom!$K$1:$V$1=$F$5),Alcom!$K$3:$V$2399)</f>
        <v>-7453.96</v>
      </c>
      <c r="G163" s="439"/>
    </row>
    <row r="164" spans="1:7" outlineLevel="2">
      <c r="A164" s="119" t="s">
        <v>84</v>
      </c>
      <c r="B164" s="119" t="s">
        <v>124</v>
      </c>
      <c r="C164" s="70" t="s">
        <v>582</v>
      </c>
      <c r="D164" s="421">
        <v>2031700100</v>
      </c>
      <c r="E164" s="70" t="s">
        <v>135</v>
      </c>
      <c r="F164" s="473">
        <f>SUMPRODUCT((Alcom!$A$3:$A$2399=CONCATENATE(C164,D164))*(Alcom!$K$1:$V$1=$F$5),Alcom!$K$3:$V$2399)</f>
        <v>0</v>
      </c>
      <c r="G164" s="439"/>
    </row>
    <row r="165" spans="1:7" outlineLevel="2">
      <c r="A165" s="119" t="s">
        <v>84</v>
      </c>
      <c r="B165" s="119" t="s">
        <v>124</v>
      </c>
      <c r="C165" s="70" t="s">
        <v>582</v>
      </c>
      <c r="D165" s="70">
        <v>2032001001</v>
      </c>
      <c r="E165" s="70" t="s">
        <v>136</v>
      </c>
      <c r="F165" s="473">
        <f>SUMPRODUCT((Alcom!$A$3:$A$2399=CONCATENATE(C165,D165))*(Alcom!$K$1:$V$1=$F$5),Alcom!$K$3:$V$2399)</f>
        <v>-66493.45</v>
      </c>
      <c r="G165" s="439"/>
    </row>
    <row r="166" spans="1:7" outlineLevel="2">
      <c r="A166" s="119" t="s">
        <v>84</v>
      </c>
      <c r="B166" s="119" t="s">
        <v>124</v>
      </c>
      <c r="C166" s="70" t="s">
        <v>582</v>
      </c>
      <c r="D166" s="70" t="s">
        <v>2529</v>
      </c>
      <c r="E166" s="70" t="s">
        <v>2530</v>
      </c>
      <c r="F166" s="473">
        <f>SUMPRODUCT((Alcom!$A$3:$A$2399=CONCATENATE(C166,D166))*(Alcom!$K$1:$V$1=$F$5),Alcom!$K$3:$V$2399)</f>
        <v>2479.6799999999998</v>
      </c>
      <c r="G166" s="439"/>
    </row>
    <row r="167" spans="1:7" outlineLevel="2">
      <c r="A167" s="119" t="s">
        <v>84</v>
      </c>
      <c r="B167" s="119" t="s">
        <v>124</v>
      </c>
      <c r="C167" s="70" t="s">
        <v>582</v>
      </c>
      <c r="D167" s="70">
        <v>2032001004</v>
      </c>
      <c r="E167" s="70" t="s">
        <v>585</v>
      </c>
      <c r="F167" s="473">
        <f>SUMPRODUCT((Alcom!$A$3:$A$2399=CONCATENATE(C167,D167))*(Alcom!$K$1:$V$1=$F$5),Alcom!$K$3:$V$2399)</f>
        <v>-15557.13</v>
      </c>
      <c r="G167" s="439"/>
    </row>
    <row r="168" spans="1:7" outlineLevel="2">
      <c r="A168" s="119" t="s">
        <v>84</v>
      </c>
      <c r="B168" s="119" t="s">
        <v>124</v>
      </c>
      <c r="C168" s="70" t="s">
        <v>582</v>
      </c>
      <c r="D168" s="70">
        <v>2032200000</v>
      </c>
      <c r="E168" s="70" t="s">
        <v>137</v>
      </c>
      <c r="F168" s="473">
        <f>SUMPRODUCT((Alcom!$A$3:$A$2399=CONCATENATE(C168,D168))*(Alcom!$K$1:$V$1=$F$5),Alcom!$K$3:$V$2399)</f>
        <v>-40617.67</v>
      </c>
      <c r="G168" s="439"/>
    </row>
    <row r="169" spans="1:7" outlineLevel="2">
      <c r="A169" s="119" t="s">
        <v>84</v>
      </c>
      <c r="B169" s="119" t="s">
        <v>124</v>
      </c>
      <c r="C169" s="70" t="s">
        <v>582</v>
      </c>
      <c r="D169" s="70">
        <v>2032201115</v>
      </c>
      <c r="E169" s="70" t="s">
        <v>138</v>
      </c>
      <c r="F169" s="473">
        <f>SUMPRODUCT((Alcom!$A$3:$A$2399=CONCATENATE(C169,D169))*(Alcom!$K$1:$V$1=$F$5),Alcom!$K$3:$V$2399)</f>
        <v>-9378.07</v>
      </c>
      <c r="G169" s="439"/>
    </row>
    <row r="170" spans="1:7" outlineLevel="2">
      <c r="A170" s="119" t="s">
        <v>84</v>
      </c>
      <c r="B170" s="119" t="s">
        <v>124</v>
      </c>
      <c r="C170" s="70" t="s">
        <v>582</v>
      </c>
      <c r="D170" s="70">
        <v>2032300000</v>
      </c>
      <c r="E170" s="70" t="s">
        <v>139</v>
      </c>
      <c r="F170" s="473">
        <f>SUMPRODUCT((Alcom!$A$3:$A$2399=CONCATENATE(C170,D170))*(Alcom!$K$1:$V$1=$F$5),Alcom!$K$3:$V$2399)</f>
        <v>0</v>
      </c>
      <c r="G170" s="439"/>
    </row>
    <row r="171" spans="1:7" outlineLevel="2">
      <c r="A171" s="119" t="s">
        <v>84</v>
      </c>
      <c r="B171" s="119" t="s">
        <v>124</v>
      </c>
      <c r="C171" s="70" t="s">
        <v>582</v>
      </c>
      <c r="D171" s="70">
        <v>2032400000</v>
      </c>
      <c r="E171" s="70" t="s">
        <v>140</v>
      </c>
      <c r="F171" s="473">
        <f>SUMPRODUCT((Alcom!$A$3:$A$2399=CONCATENATE(C171,D171))*(Alcom!$K$1:$V$1=$F$5),Alcom!$K$3:$V$2399)</f>
        <v>0</v>
      </c>
      <c r="G171" s="439"/>
    </row>
    <row r="172" spans="1:7" outlineLevel="2">
      <c r="A172" s="119" t="s">
        <v>84</v>
      </c>
      <c r="B172" s="119" t="s">
        <v>124</v>
      </c>
      <c r="C172" s="70" t="s">
        <v>582</v>
      </c>
      <c r="D172" s="421">
        <v>2032500000</v>
      </c>
      <c r="E172" s="70" t="s">
        <v>704</v>
      </c>
      <c r="F172" s="473">
        <f>SUMPRODUCT((Alcom!$A$3:$A$2399=CONCATENATE(C172,D172))*(Alcom!$K$1:$V$1=$F$5),Alcom!$K$3:$V$2399)</f>
        <v>-2076.6999999999998</v>
      </c>
      <c r="G172" s="439"/>
    </row>
    <row r="173" spans="1:7" outlineLevel="2">
      <c r="A173" s="119" t="s">
        <v>84</v>
      </c>
      <c r="B173" s="119" t="s">
        <v>124</v>
      </c>
      <c r="C173" s="70" t="s">
        <v>582</v>
      </c>
      <c r="D173" s="70">
        <v>2033000000</v>
      </c>
      <c r="E173" s="70" t="s">
        <v>141</v>
      </c>
      <c r="F173" s="473">
        <f>SUMPRODUCT((Alcom!$A$3:$A$2399=CONCATENATE(C173,D173))*(Alcom!$K$1:$V$1=$F$5),Alcom!$K$3:$V$2399)</f>
        <v>-152763.98000000001</v>
      </c>
      <c r="G173" s="439"/>
    </row>
    <row r="174" spans="1:7" outlineLevel="2">
      <c r="A174" s="119" t="s">
        <v>84</v>
      </c>
      <c r="B174" s="119" t="s">
        <v>124</v>
      </c>
      <c r="C174" s="70" t="s">
        <v>582</v>
      </c>
      <c r="D174" s="70">
        <v>2033100000</v>
      </c>
      <c r="E174" s="70" t="s">
        <v>142</v>
      </c>
      <c r="F174" s="473">
        <f>SUMPRODUCT((Alcom!$A$3:$A$2399=CONCATENATE(C174,D174))*(Alcom!$K$1:$V$1=$F$5),Alcom!$K$3:$V$2399)</f>
        <v>-19565.150000000001</v>
      </c>
      <c r="G174" s="439"/>
    </row>
    <row r="175" spans="1:7" outlineLevel="2">
      <c r="A175" s="119" t="s">
        <v>84</v>
      </c>
      <c r="B175" s="119" t="s">
        <v>124</v>
      </c>
      <c r="C175" s="70" t="s">
        <v>582</v>
      </c>
      <c r="D175" s="70">
        <v>2033200000</v>
      </c>
      <c r="E175" s="70" t="s">
        <v>633</v>
      </c>
      <c r="F175" s="473">
        <f>SUMPRODUCT((Alcom!$A$3:$A$2399=CONCATENATE(C175,D175))*(Alcom!$K$1:$V$1=$F$5),Alcom!$K$3:$V$2399)</f>
        <v>0</v>
      </c>
      <c r="G175" s="439"/>
    </row>
    <row r="176" spans="1:7" outlineLevel="2">
      <c r="A176" s="119" t="s">
        <v>84</v>
      </c>
      <c r="B176" s="119" t="s">
        <v>143</v>
      </c>
      <c r="C176" s="70" t="s">
        <v>582</v>
      </c>
      <c r="D176" s="70">
        <v>2001701010</v>
      </c>
      <c r="E176" s="70" t="s">
        <v>144</v>
      </c>
      <c r="F176" s="473">
        <f>SUMPRODUCT((Alcom!$A$3:$A$2399=CONCATENATE(C176,D176))*(Alcom!$K$1:$V$1=$F$5),Alcom!$K$3:$V$2399)</f>
        <v>-854007.69</v>
      </c>
      <c r="G176" s="439"/>
    </row>
    <row r="177" spans="1:7" outlineLevel="2">
      <c r="A177" s="119" t="s">
        <v>84</v>
      </c>
      <c r="B177" s="119" t="s">
        <v>143</v>
      </c>
      <c r="C177" s="70" t="s">
        <v>582</v>
      </c>
      <c r="D177" s="70">
        <v>2001701210</v>
      </c>
      <c r="E177" s="70" t="s">
        <v>145</v>
      </c>
      <c r="F177" s="473">
        <f>SUMPRODUCT((Alcom!$A$3:$A$2399=CONCATENATE(C177,D177))*(Alcom!$K$1:$V$1=$F$5),Alcom!$K$3:$V$2399)</f>
        <v>-54954.04</v>
      </c>
      <c r="G177" s="439"/>
    </row>
    <row r="178" spans="1:7" outlineLevel="2">
      <c r="A178" s="119" t="s">
        <v>84</v>
      </c>
      <c r="B178" s="119" t="s">
        <v>143</v>
      </c>
      <c r="C178" s="70" t="s">
        <v>582</v>
      </c>
      <c r="D178" s="70">
        <v>2001701310</v>
      </c>
      <c r="E178" s="70" t="s">
        <v>146</v>
      </c>
      <c r="F178" s="473">
        <f>SUMPRODUCT((Alcom!$A$3:$A$2399=CONCATENATE(C178,D178))*(Alcom!$K$1:$V$1=$F$5),Alcom!$K$3:$V$2399)</f>
        <v>-4000</v>
      </c>
      <c r="G178" s="439"/>
    </row>
    <row r="179" spans="1:7" outlineLevel="2">
      <c r="A179" s="119" t="s">
        <v>84</v>
      </c>
      <c r="B179" s="119" t="s">
        <v>143</v>
      </c>
      <c r="C179" s="70" t="s">
        <v>582</v>
      </c>
      <c r="D179" s="70">
        <v>2001701410</v>
      </c>
      <c r="E179" s="70" t="s">
        <v>147</v>
      </c>
      <c r="F179" s="473">
        <f>SUMPRODUCT((Alcom!$A$3:$A$2399=CONCATENATE(C179,D179))*(Alcom!$K$1:$V$1=$F$5),Alcom!$K$3:$V$2399)</f>
        <v>0</v>
      </c>
      <c r="G179" s="439"/>
    </row>
    <row r="180" spans="1:7" outlineLevel="2">
      <c r="A180" s="119" t="s">
        <v>84</v>
      </c>
      <c r="B180" s="119" t="s">
        <v>143</v>
      </c>
      <c r="C180" s="70" t="s">
        <v>582</v>
      </c>
      <c r="D180" s="70">
        <v>2001701511</v>
      </c>
      <c r="E180" s="70" t="s">
        <v>148</v>
      </c>
      <c r="F180" s="473">
        <f>SUMPRODUCT((Alcom!$A$3:$A$2399=CONCATENATE(C180,D180))*(Alcom!$K$1:$V$1=$F$5),Alcom!$K$3:$V$2399)</f>
        <v>-38417.25</v>
      </c>
      <c r="G180" s="439"/>
    </row>
    <row r="181" spans="1:7" outlineLevel="1">
      <c r="A181" s="120" t="s">
        <v>149</v>
      </c>
      <c r="B181" s="119"/>
      <c r="C181" s="70"/>
      <c r="D181" s="70"/>
      <c r="E181" s="70"/>
      <c r="F181" s="474">
        <f>SUBTOTAL(9,F105:F180)</f>
        <v>-13737871.599999998</v>
      </c>
    </row>
    <row r="182" spans="1:7" outlineLevel="2">
      <c r="A182" s="119" t="s">
        <v>246</v>
      </c>
      <c r="B182" s="119" t="s">
        <v>118</v>
      </c>
      <c r="C182" s="70" t="s">
        <v>157</v>
      </c>
      <c r="D182" s="70">
        <v>2002400000</v>
      </c>
      <c r="E182" s="70" t="s">
        <v>123</v>
      </c>
      <c r="F182" s="473">
        <f>SUMPRODUCT((Alcom!$A$3:$A$2399=CONCATENATE(C182,D182))*(Alcom!$K$1:$V$1=$F$5),Alcom!$K$3:$V$2399)</f>
        <v>0</v>
      </c>
    </row>
    <row r="183" spans="1:7" outlineLevel="1">
      <c r="A183" s="120" t="s">
        <v>249</v>
      </c>
      <c r="B183" s="119"/>
      <c r="C183" s="70"/>
      <c r="D183" s="70"/>
      <c r="E183" s="70"/>
      <c r="F183" s="475">
        <f>SUBTOTAL(9,F182:F182)</f>
        <v>0</v>
      </c>
    </row>
    <row r="184" spans="1:7" outlineLevel="2">
      <c r="A184" s="119" t="s">
        <v>248</v>
      </c>
      <c r="B184" s="119" t="s">
        <v>120</v>
      </c>
      <c r="C184" s="70" t="s">
        <v>157</v>
      </c>
      <c r="D184" s="70">
        <v>2001000000</v>
      </c>
      <c r="E184" s="70" t="s">
        <v>121</v>
      </c>
      <c r="F184" s="473">
        <f>SUMPRODUCT((Alcom!$A$3:$A$2399=CONCATENATE(C184,D184))*(Alcom!$K$1:$V$1=$F$5),Alcom!$K$3:$V$2399)</f>
        <v>-10652.18</v>
      </c>
    </row>
    <row r="185" spans="1:7" outlineLevel="1">
      <c r="A185" s="120" t="s">
        <v>250</v>
      </c>
      <c r="B185" s="119"/>
      <c r="C185" s="70"/>
      <c r="D185" s="70"/>
      <c r="E185" s="70"/>
      <c r="F185" s="474">
        <f>SUBTOTAL(9,F184:F184)</f>
        <v>-10652.18</v>
      </c>
    </row>
    <row r="186" spans="1:7" outlineLevel="2">
      <c r="A186" s="119" t="s">
        <v>245</v>
      </c>
      <c r="B186" s="119" t="s">
        <v>118</v>
      </c>
      <c r="C186" s="70" t="s">
        <v>157</v>
      </c>
      <c r="D186" s="70">
        <v>1301601100</v>
      </c>
      <c r="E186" s="70" t="s">
        <v>119</v>
      </c>
      <c r="F186" s="473">
        <f>SUMPRODUCT((Alcom!$A$3:$A$2399=CONCATENATE(C186,D186))*(Alcom!$K$1:$V$1=$F$5),Alcom!$K$3:$V$2399)</f>
        <v>0</v>
      </c>
    </row>
    <row r="187" spans="1:7" outlineLevel="2">
      <c r="A187" s="119" t="s">
        <v>245</v>
      </c>
      <c r="B187" s="119" t="s">
        <v>118</v>
      </c>
      <c r="C187" s="70" t="s">
        <v>157</v>
      </c>
      <c r="D187" s="70">
        <v>2001000003</v>
      </c>
      <c r="E187" s="70" t="s">
        <v>122</v>
      </c>
      <c r="F187" s="473">
        <f>SUMPRODUCT((Alcom!$A$3:$A$2399=CONCATENATE(C187,D187))*(Alcom!$K$1:$V$1=$F$5),Alcom!$K$3:$V$2399)</f>
        <v>-1161711.3799999999</v>
      </c>
    </row>
    <row r="188" spans="1:7" outlineLevel="1">
      <c r="A188" s="120" t="s">
        <v>251</v>
      </c>
      <c r="B188" s="119"/>
      <c r="C188" s="70"/>
      <c r="D188" s="70"/>
      <c r="E188" s="70"/>
      <c r="F188" s="474">
        <f>SUBTOTAL(9,F186:F187)</f>
        <v>-1161711.3799999999</v>
      </c>
    </row>
    <row r="189" spans="1:7" outlineLevel="2">
      <c r="A189" s="106" t="s">
        <v>150</v>
      </c>
      <c r="B189" s="106" t="s">
        <v>150</v>
      </c>
      <c r="C189" s="70" t="s">
        <v>157</v>
      </c>
      <c r="D189" s="70">
        <v>1311200000</v>
      </c>
      <c r="E189" s="70" t="s">
        <v>151</v>
      </c>
      <c r="F189" s="473">
        <f>SUMPRODUCT((Alcom!$A$3:$A$2399=CONCATENATE(C189,D189))*(Alcom!$K$1:$V$1=$F$5),Alcom!$K$3:$V$2399)</f>
        <v>-5439462.96</v>
      </c>
    </row>
    <row r="190" spans="1:7" outlineLevel="1">
      <c r="A190" s="50" t="s">
        <v>152</v>
      </c>
      <c r="B190" s="106"/>
      <c r="C190" s="70"/>
      <c r="D190" s="70"/>
      <c r="E190" s="70"/>
      <c r="F190" s="474">
        <f>SUBTOTAL(9,F189:F189)</f>
        <v>-5439462.96</v>
      </c>
    </row>
    <row r="191" spans="1:7" outlineLevel="2">
      <c r="A191" s="119" t="s">
        <v>247</v>
      </c>
      <c r="B191" s="119" t="s">
        <v>156</v>
      </c>
      <c r="C191" s="70" t="s">
        <v>157</v>
      </c>
      <c r="D191" s="421">
        <v>1421202300</v>
      </c>
      <c r="E191" s="70" t="s">
        <v>662</v>
      </c>
      <c r="F191" s="473">
        <f>SUMPRODUCT((Alcom!$A$3:$A$2399=CONCATENATE(C191,D191))*(Alcom!$K$1:$V$1=$F$5),Alcom!$K$3:$V$2399)</f>
        <v>0</v>
      </c>
    </row>
    <row r="192" spans="1:7" outlineLevel="2">
      <c r="A192" s="119" t="s">
        <v>247</v>
      </c>
      <c r="B192" s="119" t="s">
        <v>156</v>
      </c>
      <c r="C192" s="70" t="s">
        <v>157</v>
      </c>
      <c r="D192" s="70">
        <v>1421202500</v>
      </c>
      <c r="E192" s="70" t="s">
        <v>242</v>
      </c>
      <c r="F192" s="473">
        <f>SUMPRODUCT((Alcom!$A$3:$A$2399=CONCATENATE(C192,D192))*(Alcom!$K$1:$V$1=$F$5),Alcom!$K$3:$V$2399)</f>
        <v>0</v>
      </c>
    </row>
    <row r="193" spans="1:6" outlineLevel="1">
      <c r="A193" s="120" t="s">
        <v>252</v>
      </c>
      <c r="B193" s="119"/>
      <c r="C193" s="70"/>
      <c r="D193" s="70"/>
      <c r="E193" s="70"/>
      <c r="F193" s="474">
        <f>SUBTOTAL(9,F191:F191)</f>
        <v>0</v>
      </c>
    </row>
    <row r="194" spans="1:6" outlineLevel="2">
      <c r="A194" s="119" t="s">
        <v>153</v>
      </c>
      <c r="B194" s="119" t="s">
        <v>153</v>
      </c>
      <c r="C194" s="70" t="s">
        <v>157</v>
      </c>
      <c r="D194" s="70">
        <v>1421301000</v>
      </c>
      <c r="E194" s="70" t="s">
        <v>154</v>
      </c>
      <c r="F194" s="473">
        <f>SUMPRODUCT((Alcom!$A$3:$A$2399=CONCATENATE(C194,D194))*(Alcom!$K$1:$V$1=$F$5),Alcom!$K$3:$V$2399)</f>
        <v>353370.63</v>
      </c>
    </row>
    <row r="195" spans="1:6" outlineLevel="1">
      <c r="A195" s="120" t="s">
        <v>155</v>
      </c>
      <c r="B195" s="119"/>
      <c r="C195" s="70"/>
      <c r="D195" s="70"/>
      <c r="E195" s="70"/>
      <c r="F195" s="474">
        <f>SUBTOTAL(9,F194:F194)</f>
        <v>353370.63</v>
      </c>
    </row>
    <row r="196" spans="1:6" outlineLevel="2">
      <c r="A196" s="119" t="s">
        <v>156</v>
      </c>
      <c r="B196" s="119" t="s">
        <v>156</v>
      </c>
      <c r="C196" s="70" t="s">
        <v>157</v>
      </c>
      <c r="D196" s="70">
        <v>1421100000</v>
      </c>
      <c r="E196" s="70" t="s">
        <v>158</v>
      </c>
      <c r="F196" s="473">
        <f>SUMPRODUCT((Alcom!$A$3:$A$2399=CONCATENATE(C196,D196))*(Alcom!$K$1:$V$1=$F$5),Alcom!$K$3:$V$2399)</f>
        <v>22942418.579999998</v>
      </c>
    </row>
    <row r="197" spans="1:6" outlineLevel="2">
      <c r="A197" s="119" t="s">
        <v>156</v>
      </c>
      <c r="B197" s="119" t="s">
        <v>156</v>
      </c>
      <c r="C197" s="70" t="s">
        <v>157</v>
      </c>
      <c r="D197" s="70">
        <v>1421202900</v>
      </c>
      <c r="E197" s="70" t="s">
        <v>829</v>
      </c>
      <c r="F197" s="473">
        <f>SUMPRODUCT((Alcom!$A$3:$A$2399=CONCATENATE(C197,D197))*(Alcom!$K$1:$V$1=$F$5),Alcom!$K$3:$V$2399)</f>
        <v>252035.96</v>
      </c>
    </row>
    <row r="198" spans="1:6" outlineLevel="1">
      <c r="A198" s="120" t="s">
        <v>159</v>
      </c>
      <c r="B198" s="119"/>
      <c r="C198" s="70"/>
      <c r="D198" s="70"/>
      <c r="E198" s="70"/>
      <c r="F198" s="474">
        <f>SUBTOTAL(9,F196:F197)</f>
        <v>23194454.539999999</v>
      </c>
    </row>
    <row r="199" spans="1:6" outlineLevel="2">
      <c r="A199" s="119" t="s">
        <v>160</v>
      </c>
      <c r="B199" s="119" t="s">
        <v>160</v>
      </c>
      <c r="C199" s="70" t="s">
        <v>157</v>
      </c>
      <c r="D199" s="70">
        <v>1301000000</v>
      </c>
      <c r="E199" s="70" t="s">
        <v>162</v>
      </c>
      <c r="F199" s="473">
        <f>SUMPRODUCT((Alcom!$A$3:$A$2399=CONCATENATE(C199,D199))*(Alcom!$K$1:$V$1=$F$5),Alcom!$K$3:$V$2399)</f>
        <v>62520</v>
      </c>
    </row>
    <row r="200" spans="1:6" outlineLevel="2">
      <c r="A200" s="119" t="s">
        <v>160</v>
      </c>
      <c r="B200" s="119" t="s">
        <v>160</v>
      </c>
      <c r="C200" s="70" t="s">
        <v>157</v>
      </c>
      <c r="D200" s="70">
        <v>1301400000</v>
      </c>
      <c r="E200" s="70" t="s">
        <v>807</v>
      </c>
      <c r="F200" s="473">
        <f>SUMPRODUCT((Alcom!$A$3:$A$2399=CONCATENATE(C200,D200))*(Alcom!$K$1:$V$1=$F$5),Alcom!$K$3:$V$2399)</f>
        <v>43638.92</v>
      </c>
    </row>
    <row r="201" spans="1:6" outlineLevel="2">
      <c r="A201" s="119" t="s">
        <v>160</v>
      </c>
      <c r="B201" s="119" t="s">
        <v>160</v>
      </c>
      <c r="C201" s="70" t="s">
        <v>157</v>
      </c>
      <c r="D201" s="70">
        <v>1301401000</v>
      </c>
      <c r="E201" s="70" t="s">
        <v>163</v>
      </c>
      <c r="F201" s="473">
        <f>SUMPRODUCT((Alcom!$A$3:$A$2399=CONCATENATE(C201,D201))*(Alcom!$K$1:$V$1=$F$5),Alcom!$K$3:$V$2399)</f>
        <v>2705.1</v>
      </c>
    </row>
    <row r="202" spans="1:6" outlineLevel="2">
      <c r="A202" s="119" t="s">
        <v>160</v>
      </c>
      <c r="B202" s="119" t="s">
        <v>160</v>
      </c>
      <c r="C202" s="70" t="s">
        <v>157</v>
      </c>
      <c r="D202" s="70">
        <v>1301401100</v>
      </c>
      <c r="E202" s="70" t="s">
        <v>164</v>
      </c>
      <c r="F202" s="473">
        <f>SUMPRODUCT((Alcom!$A$3:$A$2399=CONCATENATE(C202,D202))*(Alcom!$K$1:$V$1=$F$5),Alcom!$K$3:$V$2399)</f>
        <v>5386</v>
      </c>
    </row>
    <row r="203" spans="1:6" outlineLevel="2">
      <c r="A203" s="119" t="s">
        <v>160</v>
      </c>
      <c r="B203" s="119" t="s">
        <v>160</v>
      </c>
      <c r="C203" s="70" t="s">
        <v>157</v>
      </c>
      <c r="D203" s="70">
        <v>1301401200</v>
      </c>
      <c r="E203" s="70" t="s">
        <v>165</v>
      </c>
      <c r="F203" s="473">
        <f>SUMPRODUCT((Alcom!$A$3:$A$2399=CONCATENATE(C203,D203))*(Alcom!$K$1:$V$1=$F$5),Alcom!$K$3:$V$2399)</f>
        <v>4556</v>
      </c>
    </row>
    <row r="204" spans="1:6" outlineLevel="2">
      <c r="A204" s="119" t="s">
        <v>160</v>
      </c>
      <c r="B204" s="119" t="s">
        <v>160</v>
      </c>
      <c r="C204" s="70" t="s">
        <v>157</v>
      </c>
      <c r="D204" s="70">
        <v>1301600000</v>
      </c>
      <c r="E204" s="70" t="s">
        <v>166</v>
      </c>
      <c r="F204" s="473">
        <f>SUMPRODUCT((Alcom!$A$3:$A$2399=CONCATENATE(C204,D204))*(Alcom!$K$1:$V$1=$F$5),Alcom!$K$3:$V$2399)</f>
        <v>88150</v>
      </c>
    </row>
    <row r="205" spans="1:6" outlineLevel="2">
      <c r="A205" s="119" t="s">
        <v>160</v>
      </c>
      <c r="B205" s="119" t="s">
        <v>160</v>
      </c>
      <c r="C205" s="70" t="s">
        <v>157</v>
      </c>
      <c r="D205" s="70">
        <v>1301601500</v>
      </c>
      <c r="E205" s="70" t="s">
        <v>167</v>
      </c>
      <c r="F205" s="473">
        <f>SUMPRODUCT((Alcom!$A$3:$A$2399=CONCATENATE(C205,D205))*(Alcom!$K$1:$V$1=$F$5),Alcom!$K$3:$V$2399)</f>
        <v>85250</v>
      </c>
    </row>
    <row r="206" spans="1:6" outlineLevel="2">
      <c r="A206" s="119" t="s">
        <v>160</v>
      </c>
      <c r="B206" s="119" t="s">
        <v>160</v>
      </c>
      <c r="C206" s="70" t="s">
        <v>157</v>
      </c>
      <c r="D206" s="70">
        <v>1421201000</v>
      </c>
      <c r="E206" s="70" t="s">
        <v>168</v>
      </c>
      <c r="F206" s="473">
        <f>SUMPRODUCT((Alcom!$A$3:$A$2399=CONCATENATE(C206,D206))*(Alcom!$K$1:$V$1=$F$5),Alcom!$K$3:$V$2399)</f>
        <v>978.65</v>
      </c>
    </row>
    <row r="207" spans="1:6" outlineLevel="2">
      <c r="A207" s="119" t="s">
        <v>160</v>
      </c>
      <c r="B207" s="119" t="s">
        <v>160</v>
      </c>
      <c r="C207" s="70" t="s">
        <v>157</v>
      </c>
      <c r="D207" s="70">
        <v>1421201200</v>
      </c>
      <c r="E207" s="70" t="s">
        <v>820</v>
      </c>
      <c r="F207" s="473">
        <f>SUMPRODUCT((Alcom!$A$3:$A$2399=CONCATENATE(C207,D207))*(Alcom!$K$1:$V$1=$F$5),Alcom!$K$3:$V$2399)</f>
        <v>0</v>
      </c>
    </row>
    <row r="208" spans="1:6" outlineLevel="2">
      <c r="A208" s="119" t="s">
        <v>160</v>
      </c>
      <c r="B208" s="119" t="s">
        <v>160</v>
      </c>
      <c r="C208" s="70" t="s">
        <v>157</v>
      </c>
      <c r="D208" s="70">
        <v>1421201500</v>
      </c>
      <c r="E208" s="70" t="s">
        <v>170</v>
      </c>
      <c r="F208" s="473">
        <f>SUMPRODUCT((Alcom!$A$3:$A$2399=CONCATENATE(C208,D208))*(Alcom!$K$1:$V$1=$F$5),Alcom!$K$3:$V$2399)</f>
        <v>0</v>
      </c>
    </row>
    <row r="209" spans="1:6" outlineLevel="2">
      <c r="A209" s="119" t="s">
        <v>160</v>
      </c>
      <c r="B209" s="119" t="s">
        <v>160</v>
      </c>
      <c r="C209" s="70" t="s">
        <v>157</v>
      </c>
      <c r="D209" s="70">
        <v>1421202000</v>
      </c>
      <c r="E209" s="70" t="s">
        <v>171</v>
      </c>
      <c r="F209" s="473">
        <f>SUMPRODUCT((Alcom!$A$3:$A$2399=CONCATENATE(C209,D209))*(Alcom!$K$1:$V$1=$F$5),Alcom!$K$3:$V$2399)</f>
        <v>-245734.04</v>
      </c>
    </row>
    <row r="210" spans="1:6" outlineLevel="2">
      <c r="A210" s="119" t="s">
        <v>160</v>
      </c>
      <c r="B210" s="119" t="s">
        <v>160</v>
      </c>
      <c r="C210" s="70" t="s">
        <v>157</v>
      </c>
      <c r="D210" s="70">
        <v>1421202400</v>
      </c>
      <c r="E210" s="70" t="s">
        <v>161</v>
      </c>
      <c r="F210" s="473">
        <f>SUMPRODUCT((Alcom!$A$3:$A$2399=CONCATENATE(C210,D210))*(Alcom!$K$1:$V$1=$F$5),Alcom!$K$3:$V$2399)</f>
        <v>0</v>
      </c>
    </row>
    <row r="211" spans="1:6" outlineLevel="2">
      <c r="A211" s="119" t="s">
        <v>160</v>
      </c>
      <c r="B211" s="119" t="s">
        <v>160</v>
      </c>
      <c r="C211" s="70" t="s">
        <v>157</v>
      </c>
      <c r="D211" s="70">
        <v>1421202410</v>
      </c>
      <c r="E211" s="70" t="s">
        <v>583</v>
      </c>
      <c r="F211" s="473">
        <f>SUMPRODUCT((Alcom!$A$3:$A$2399=CONCATENATE(C211,D211))*(Alcom!$K$1:$V$1=$F$5),Alcom!$K$3:$V$2399)</f>
        <v>0</v>
      </c>
    </row>
    <row r="212" spans="1:6" outlineLevel="2">
      <c r="A212" s="119" t="s">
        <v>160</v>
      </c>
      <c r="B212" s="119" t="s">
        <v>160</v>
      </c>
      <c r="C212" s="70" t="s">
        <v>157</v>
      </c>
      <c r="D212" s="70">
        <v>1421203010</v>
      </c>
      <c r="E212" s="70" t="s">
        <v>169</v>
      </c>
      <c r="F212" s="473">
        <f>SUMPRODUCT((Alcom!$A$3:$A$2399=CONCATENATE(C212,D212))*(Alcom!$K$1:$V$1=$F$5),Alcom!$K$3:$V$2399)</f>
        <v>0</v>
      </c>
    </row>
    <row r="213" spans="1:6" outlineLevel="2">
      <c r="A213" s="119" t="s">
        <v>160</v>
      </c>
      <c r="B213" s="119" t="s">
        <v>160</v>
      </c>
      <c r="C213" s="70" t="s">
        <v>157</v>
      </c>
      <c r="D213" s="70">
        <v>1430000000</v>
      </c>
      <c r="E213" s="70" t="s">
        <v>253</v>
      </c>
      <c r="F213" s="473">
        <f>SUMPRODUCT((Alcom!$A$3:$A$2399=CONCATENATE(C213,D213))*(Alcom!$K$1:$V$1=$F$5),Alcom!$K$3:$V$2399)</f>
        <v>0</v>
      </c>
    </row>
    <row r="214" spans="1:6" outlineLevel="2">
      <c r="A214" s="119" t="s">
        <v>160</v>
      </c>
      <c r="B214" s="119" t="s">
        <v>160</v>
      </c>
      <c r="C214" s="70" t="s">
        <v>157</v>
      </c>
      <c r="D214" s="70">
        <v>1441000000</v>
      </c>
      <c r="E214" s="70" t="s">
        <v>835</v>
      </c>
      <c r="F214" s="473">
        <f>SUMPRODUCT((Alcom!$A$3:$A$2399=CONCATENATE(C214,D214))*(Alcom!$K$1:$V$1=$F$5),Alcom!$K$3:$V$2399)</f>
        <v>20332</v>
      </c>
    </row>
    <row r="215" spans="1:6" outlineLevel="2">
      <c r="A215" s="119" t="s">
        <v>160</v>
      </c>
      <c r="B215" s="119" t="s">
        <v>160</v>
      </c>
      <c r="C215" s="70" t="s">
        <v>157</v>
      </c>
      <c r="D215" s="70">
        <v>1441200000</v>
      </c>
      <c r="E215" s="70" t="s">
        <v>640</v>
      </c>
      <c r="F215" s="473">
        <f>SUMPRODUCT((Alcom!$A$3:$A$2399=CONCATENATE(C215,D215))*(Alcom!$K$1:$V$1=$F$5),Alcom!$K$3:$V$2399)</f>
        <v>5748</v>
      </c>
    </row>
    <row r="216" spans="1:6" outlineLevel="2">
      <c r="A216" s="119" t="s">
        <v>160</v>
      </c>
      <c r="B216" s="119" t="s">
        <v>160</v>
      </c>
      <c r="C216" s="70" t="s">
        <v>157</v>
      </c>
      <c r="D216" s="70">
        <v>1441300000</v>
      </c>
      <c r="E216" s="70" t="s">
        <v>172</v>
      </c>
      <c r="F216" s="473">
        <f>SUMPRODUCT((Alcom!$A$3:$A$2399=CONCATENATE(C216,D216))*(Alcom!$K$1:$V$1=$F$5),Alcom!$K$3:$V$2399)</f>
        <v>0</v>
      </c>
    </row>
    <row r="217" spans="1:6" outlineLevel="2">
      <c r="A217" s="119" t="s">
        <v>160</v>
      </c>
      <c r="B217" s="119" t="s">
        <v>160</v>
      </c>
      <c r="C217" s="70" t="s">
        <v>157</v>
      </c>
      <c r="D217" s="70">
        <v>1441400000</v>
      </c>
      <c r="E217" s="70" t="s">
        <v>173</v>
      </c>
      <c r="F217" s="473">
        <f>SUMPRODUCT((Alcom!$A$3:$A$2399=CONCATENATE(C217,D217))*(Alcom!$K$1:$V$1=$F$5),Alcom!$K$3:$V$2399)</f>
        <v>0</v>
      </c>
    </row>
    <row r="218" spans="1:6" outlineLevel="2">
      <c r="A218" s="119" t="s">
        <v>160</v>
      </c>
      <c r="B218" s="119" t="s">
        <v>160</v>
      </c>
      <c r="C218" s="70" t="s">
        <v>157</v>
      </c>
      <c r="D218" s="70">
        <v>1441500000</v>
      </c>
      <c r="E218" s="70" t="s">
        <v>174</v>
      </c>
      <c r="F218" s="473">
        <f>SUMPRODUCT((Alcom!$A$3:$A$2399=CONCATENATE(C218,D218))*(Alcom!$K$1:$V$1=$F$5),Alcom!$K$3:$V$2399)</f>
        <v>0</v>
      </c>
    </row>
    <row r="219" spans="1:6" outlineLevel="2">
      <c r="A219" s="119" t="s">
        <v>160</v>
      </c>
      <c r="B219" s="119" t="s">
        <v>160</v>
      </c>
      <c r="C219" s="70" t="s">
        <v>157</v>
      </c>
      <c r="D219" s="70">
        <v>1441600000</v>
      </c>
      <c r="E219" s="70" t="s">
        <v>175</v>
      </c>
      <c r="F219" s="473">
        <f>SUMPRODUCT((Alcom!$A$3:$A$2399=CONCATENATE(C219,D219))*(Alcom!$K$1:$V$1=$F$5),Alcom!$K$3:$V$2399)</f>
        <v>21311.599999999999</v>
      </c>
    </row>
    <row r="220" spans="1:6" outlineLevel="2">
      <c r="A220" s="119" t="s">
        <v>160</v>
      </c>
      <c r="B220" s="119" t="s">
        <v>160</v>
      </c>
      <c r="C220" s="70" t="s">
        <v>157</v>
      </c>
      <c r="D220" s="70">
        <v>1441700000</v>
      </c>
      <c r="E220" s="70" t="s">
        <v>176</v>
      </c>
      <c r="F220" s="473">
        <f>SUMPRODUCT((Alcom!$A$3:$A$2399=CONCATENATE(C220,D220))*(Alcom!$K$1:$V$1=$F$5),Alcom!$K$3:$V$2399)</f>
        <v>375408</v>
      </c>
    </row>
    <row r="221" spans="1:6" outlineLevel="2">
      <c r="A221" s="119" t="s">
        <v>160</v>
      </c>
      <c r="B221" s="119" t="s">
        <v>160</v>
      </c>
      <c r="C221" s="70" t="s">
        <v>157</v>
      </c>
      <c r="D221" s="70">
        <v>1460000000</v>
      </c>
      <c r="E221" s="70" t="s">
        <v>180</v>
      </c>
      <c r="F221" s="473">
        <f>SUMPRODUCT((Alcom!$A$3:$A$2399=CONCATENATE(C221,D221))*(Alcom!$K$1:$V$1=$F$5),Alcom!$K$3:$V$2399)</f>
        <v>-62828</v>
      </c>
    </row>
    <row r="222" spans="1:6" outlineLevel="1">
      <c r="A222" s="120" t="s">
        <v>177</v>
      </c>
      <c r="B222" s="119"/>
      <c r="C222" s="70"/>
      <c r="D222" s="70"/>
      <c r="E222" s="70"/>
      <c r="F222" s="474">
        <f>SUBTOTAL(9,F199:F221)</f>
        <v>407422.23000000004</v>
      </c>
    </row>
    <row r="223" spans="1:6" outlineLevel="2">
      <c r="A223" s="119" t="s">
        <v>178</v>
      </c>
      <c r="B223" s="119" t="s">
        <v>178</v>
      </c>
      <c r="C223" s="70" t="s">
        <v>157</v>
      </c>
      <c r="D223" s="70">
        <v>1421001010</v>
      </c>
      <c r="E223" s="70" t="s">
        <v>584</v>
      </c>
      <c r="F223" s="473">
        <f>SUMPRODUCT((Alcom!$A$3:$A$2399=CONCATENATE(C223,D223))*(Alcom!$K$1:$V$1=$F$5),Alcom!$K$3:$V$2399)</f>
        <v>16551120.119999999</v>
      </c>
    </row>
    <row r="224" spans="1:6" outlineLevel="2">
      <c r="A224" s="119" t="s">
        <v>178</v>
      </c>
      <c r="B224" s="119" t="s">
        <v>178</v>
      </c>
      <c r="C224" s="70" t="s">
        <v>157</v>
      </c>
      <c r="D224" s="70">
        <v>1451100000</v>
      </c>
      <c r="E224" s="70" t="s">
        <v>179</v>
      </c>
      <c r="F224" s="473">
        <f>SUMPRODUCT((Alcom!$A$3:$A$2399=CONCATENATE(C224,D224))*(Alcom!$K$1:$V$1=$F$5),Alcom!$K$3:$V$2399)</f>
        <v>0</v>
      </c>
    </row>
    <row r="225" spans="1:6" outlineLevel="1">
      <c r="A225" s="120" t="s">
        <v>181</v>
      </c>
      <c r="B225" s="119"/>
      <c r="C225" s="70"/>
      <c r="D225" s="70"/>
      <c r="E225" s="70"/>
      <c r="F225" s="474">
        <f>SUBTOTAL(9,F223:F224)</f>
        <v>16551120.119999999</v>
      </c>
    </row>
    <row r="226" spans="1:6" outlineLevel="2">
      <c r="A226" s="106" t="s">
        <v>182</v>
      </c>
      <c r="B226" s="106" t="s">
        <v>182</v>
      </c>
      <c r="C226" s="70" t="s">
        <v>157</v>
      </c>
      <c r="D226" s="70">
        <v>1101000000</v>
      </c>
      <c r="E226" s="70" t="s">
        <v>183</v>
      </c>
      <c r="F226" s="473">
        <f>SUMPRODUCT((Alcom!$A$3:$A$2399=CONCATENATE(C226,D226))*(Alcom!$K$1:$V$1=$F$5),Alcom!$K$3:$V$2399)</f>
        <v>26859800</v>
      </c>
    </row>
    <row r="227" spans="1:6" outlineLevel="1">
      <c r="A227" s="50" t="s">
        <v>184</v>
      </c>
      <c r="B227" s="106"/>
      <c r="C227" s="70"/>
      <c r="D227" s="70"/>
      <c r="E227" s="70"/>
      <c r="F227" s="474">
        <f>SUBTOTAL(9,F226:F226)</f>
        <v>26859800</v>
      </c>
    </row>
    <row r="228" spans="1:6" outlineLevel="2">
      <c r="A228" s="106" t="s">
        <v>805</v>
      </c>
      <c r="B228" s="106" t="s">
        <v>805</v>
      </c>
      <c r="C228" s="70" t="s">
        <v>157</v>
      </c>
      <c r="D228" s="70">
        <v>2041000000</v>
      </c>
      <c r="E228" s="70" t="s">
        <v>804</v>
      </c>
      <c r="F228" s="473">
        <f>SUMPRODUCT((Alcom!$A$3:$A$2399=CONCATENATE(C228,D228))*(Alcom!$K$1:$V$1=$F$5),Alcom!$K$3:$V$2399)</f>
        <v>0</v>
      </c>
    </row>
    <row r="229" spans="1:6" outlineLevel="1">
      <c r="A229" s="50" t="s">
        <v>187</v>
      </c>
      <c r="B229" s="106"/>
      <c r="C229" s="70"/>
      <c r="D229" s="70"/>
      <c r="E229" s="70"/>
      <c r="F229" s="474">
        <f>SUBTOTAL(9,F228:F228)</f>
        <v>0</v>
      </c>
    </row>
    <row r="230" spans="1:6" outlineLevel="2">
      <c r="A230" s="106" t="s">
        <v>185</v>
      </c>
      <c r="B230" s="106" t="s">
        <v>185</v>
      </c>
      <c r="C230" s="70" t="s">
        <v>157</v>
      </c>
      <c r="D230" s="70">
        <v>2051000000</v>
      </c>
      <c r="E230" s="70" t="s">
        <v>186</v>
      </c>
      <c r="F230" s="473">
        <f>SUMPRODUCT((Alcom!$A$3:$A$2399=CONCATENATE(C230,D230))*(Alcom!$K$1:$V$1=$F$5),Alcom!$K$3:$V$2399)</f>
        <v>-1301000</v>
      </c>
    </row>
    <row r="231" spans="1:6" outlineLevel="1">
      <c r="A231" s="50" t="s">
        <v>187</v>
      </c>
      <c r="B231" s="106"/>
      <c r="C231" s="70"/>
      <c r="D231" s="70"/>
      <c r="E231" s="70"/>
      <c r="F231" s="474">
        <f>SUBTOTAL(9,F230:F230)</f>
        <v>-1301000</v>
      </c>
    </row>
    <row r="232" spans="1:6" outlineLevel="2">
      <c r="A232" s="106" t="s">
        <v>188</v>
      </c>
      <c r="B232" s="106" t="s">
        <v>188</v>
      </c>
      <c r="C232" s="70" t="s">
        <v>157</v>
      </c>
      <c r="D232" s="70">
        <v>2051100000</v>
      </c>
      <c r="E232" s="70" t="s">
        <v>189</v>
      </c>
      <c r="F232" s="473">
        <f>SUMPRODUCT((Alcom!$A$3:$A$2399=CONCATENATE(C232,D232))*(Alcom!$K$1:$V$1=$F$5),Alcom!$K$3:$V$2399)</f>
        <v>-5104357.3600000003</v>
      </c>
    </row>
    <row r="233" spans="1:6" outlineLevel="2">
      <c r="A233" s="106" t="s">
        <v>188</v>
      </c>
      <c r="B233" s="106" t="s">
        <v>188</v>
      </c>
      <c r="C233" s="70" t="s">
        <v>157</v>
      </c>
      <c r="D233" s="70">
        <v>2051200000</v>
      </c>
      <c r="E233" s="70" t="s">
        <v>190</v>
      </c>
      <c r="F233" s="473">
        <f>SUMPRODUCT((Alcom!$A$3:$A$2399=CONCATENATE(C233,D233))*(Alcom!$K$1:$V$1=$F$5),Alcom!$K$3:$V$2399)</f>
        <v>-1321703</v>
      </c>
    </row>
    <row r="234" spans="1:6" outlineLevel="1">
      <c r="A234" s="50" t="s">
        <v>191</v>
      </c>
      <c r="B234" s="106"/>
      <c r="C234" s="70"/>
      <c r="D234" s="70"/>
      <c r="E234" s="70"/>
      <c r="F234" s="474">
        <f>SUBTOTAL(9,F232:F233)</f>
        <v>-6426060.3600000003</v>
      </c>
    </row>
    <row r="235" spans="1:6">
      <c r="A235" s="50" t="s">
        <v>192</v>
      </c>
      <c r="B235" s="106"/>
      <c r="C235" s="70"/>
      <c r="D235" s="70"/>
      <c r="E235" s="70"/>
      <c r="F235" s="474">
        <f>SUBTOTAL(9,F6:F233)</f>
        <v>3190338.3900000462</v>
      </c>
    </row>
    <row r="236" spans="1:6">
      <c r="F236" s="162"/>
    </row>
    <row r="237" spans="1:6">
      <c r="F237" s="438"/>
    </row>
  </sheetData>
  <phoneticPr fontId="0" type="noConversion"/>
  <dataValidations count="1">
    <dataValidation type="list" allowBlank="1" showInputMessage="1" showErrorMessage="1" sqref="F5">
      <formula1>date</formula1>
    </dataValidation>
  </dataValidations>
  <pageMargins left="0.5" right="0.5" top="0.5" bottom="0.5" header="0.5" footer="0.5"/>
  <pageSetup paperSize="9" orientation="portrait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tabColor rgb="FFFFC000"/>
    <pageSetUpPr fitToPage="1"/>
  </sheetPr>
  <dimension ref="A1:J98"/>
  <sheetViews>
    <sheetView topLeftCell="A34" workbookViewId="0"/>
  </sheetViews>
  <sheetFormatPr defaultRowHeight="12.75"/>
  <cols>
    <col min="1" max="1" width="12.140625" style="47" customWidth="1"/>
    <col min="2" max="2" width="41.28515625" customWidth="1"/>
    <col min="3" max="3" width="3.7109375" customWidth="1"/>
    <col min="4" max="4" width="16.42578125" style="48" customWidth="1"/>
    <col min="5" max="5" width="15.7109375" style="50" customWidth="1"/>
    <col min="6" max="6" width="15.7109375" style="51" customWidth="1"/>
    <col min="7" max="7" width="14.7109375" style="52" customWidth="1"/>
    <col min="8" max="8" width="14.7109375" style="51" customWidth="1"/>
    <col min="9" max="9" width="14.7109375" style="53" customWidth="1"/>
  </cols>
  <sheetData>
    <row r="1" spans="1:9">
      <c r="B1" s="28" t="s">
        <v>193</v>
      </c>
      <c r="C1" s="28"/>
    </row>
    <row r="2" spans="1:9">
      <c r="B2" s="447" t="s">
        <v>2626</v>
      </c>
      <c r="C2" s="54"/>
      <c r="E2" s="55"/>
      <c r="F2" s="56"/>
    </row>
    <row r="3" spans="1:9">
      <c r="A3" s="125">
        <v>40603</v>
      </c>
      <c r="D3" s="58"/>
      <c r="E3" s="57"/>
      <c r="F3" s="59"/>
      <c r="G3" s="125"/>
      <c r="H3" s="60"/>
      <c r="I3" s="61"/>
    </row>
    <row r="4" spans="1:9">
      <c r="A4" s="62" t="s">
        <v>0</v>
      </c>
      <c r="D4" s="63" t="s">
        <v>194</v>
      </c>
      <c r="E4" s="64" t="s">
        <v>195</v>
      </c>
      <c r="F4" s="65" t="s">
        <v>196</v>
      </c>
      <c r="G4" s="64" t="s">
        <v>0</v>
      </c>
      <c r="H4" s="65"/>
      <c r="I4" s="65"/>
    </row>
    <row r="5" spans="1:9">
      <c r="A5" s="62" t="s">
        <v>197</v>
      </c>
      <c r="D5" s="58" t="s">
        <v>197</v>
      </c>
      <c r="E5" s="66"/>
      <c r="F5" s="67"/>
      <c r="G5" s="68" t="s">
        <v>197</v>
      </c>
      <c r="H5" s="67"/>
      <c r="I5" s="69"/>
    </row>
    <row r="7" spans="1:9" s="30" customFormat="1">
      <c r="A7" s="47">
        <v>79187495.840000004</v>
      </c>
      <c r="B7" s="30" t="s">
        <v>198</v>
      </c>
      <c r="C7" s="30">
        <v>1</v>
      </c>
      <c r="D7" s="71">
        <f>'Alcom-TB'!F64</f>
        <v>80025382.919999987</v>
      </c>
      <c r="E7" s="72"/>
      <c r="F7" s="75"/>
      <c r="G7" s="72">
        <f>SUM(D7:F7)</f>
        <v>80025382.919999987</v>
      </c>
      <c r="H7" s="75">
        <f>-A7+G7</f>
        <v>837887.07999998331</v>
      </c>
    </row>
    <row r="8" spans="1:9">
      <c r="A8" s="47">
        <v>0</v>
      </c>
      <c r="B8" t="s">
        <v>767</v>
      </c>
      <c r="D8" s="71"/>
      <c r="E8" s="72"/>
      <c r="F8" s="56"/>
      <c r="G8" s="72"/>
      <c r="H8" s="56"/>
      <c r="I8"/>
    </row>
    <row r="9" spans="1:9">
      <c r="A9" s="47">
        <v>26859800</v>
      </c>
      <c r="B9" t="s">
        <v>199</v>
      </c>
      <c r="C9">
        <v>2</v>
      </c>
      <c r="D9" s="71">
        <f>'Alcom-TB'!F227</f>
        <v>26859800</v>
      </c>
      <c r="E9" s="72"/>
      <c r="F9" s="56"/>
      <c r="G9" s="72">
        <f>SUM(D9:F9)</f>
        <v>26859800</v>
      </c>
      <c r="H9" s="56">
        <f>-A9+G9</f>
        <v>0</v>
      </c>
      <c r="I9" s="74">
        <f>SUM(H9:H11)</f>
        <v>0</v>
      </c>
    </row>
    <row r="10" spans="1:9">
      <c r="B10" t="s">
        <v>200</v>
      </c>
      <c r="D10" s="71"/>
      <c r="E10" s="72"/>
      <c r="F10" s="56"/>
      <c r="G10" s="72"/>
      <c r="H10" s="56"/>
      <c r="I10"/>
    </row>
    <row r="11" spans="1:9">
      <c r="B11" t="s">
        <v>201</v>
      </c>
      <c r="C11">
        <v>3</v>
      </c>
      <c r="D11" s="71"/>
      <c r="E11" s="72"/>
      <c r="F11" s="56"/>
      <c r="G11" s="72"/>
      <c r="H11" s="56">
        <f>-A11+G11</f>
        <v>0</v>
      </c>
      <c r="I11"/>
    </row>
    <row r="12" spans="1:9">
      <c r="D12" s="71"/>
      <c r="E12" s="72"/>
      <c r="F12" s="56"/>
      <c r="G12" s="72"/>
      <c r="H12" s="56"/>
      <c r="I12" s="74"/>
    </row>
    <row r="13" spans="1:9">
      <c r="D13" s="71"/>
      <c r="E13" s="72"/>
      <c r="F13" s="56"/>
      <c r="G13" s="72"/>
      <c r="H13" s="56"/>
      <c r="I13" s="74"/>
    </row>
    <row r="14" spans="1:9">
      <c r="D14" s="71"/>
      <c r="E14" s="72"/>
      <c r="F14" s="56"/>
      <c r="G14" s="72"/>
      <c r="H14" s="56"/>
      <c r="I14"/>
    </row>
    <row r="15" spans="1:9">
      <c r="D15" s="71"/>
      <c r="E15" s="72"/>
      <c r="F15" s="56"/>
      <c r="G15" s="72"/>
      <c r="H15" s="56"/>
      <c r="I15"/>
    </row>
    <row r="16" spans="1:9">
      <c r="D16" s="71"/>
      <c r="E16" s="72"/>
      <c r="F16" s="56"/>
      <c r="G16" s="72"/>
      <c r="H16" s="56"/>
      <c r="I16"/>
    </row>
    <row r="17" spans="1:9">
      <c r="B17" t="s">
        <v>202</v>
      </c>
      <c r="D17" s="71"/>
      <c r="E17" s="72"/>
      <c r="F17" s="56"/>
      <c r="G17" s="72"/>
      <c r="H17" s="56">
        <f>-A17+G17</f>
        <v>0</v>
      </c>
      <c r="I17" s="74"/>
    </row>
    <row r="18" spans="1:9">
      <c r="D18" s="71"/>
      <c r="E18" s="72"/>
      <c r="F18" s="56"/>
      <c r="G18" s="72"/>
      <c r="H18" s="56"/>
      <c r="I18"/>
    </row>
    <row r="19" spans="1:9">
      <c r="B19" t="s">
        <v>203</v>
      </c>
      <c r="D19" s="71"/>
      <c r="E19" s="72"/>
      <c r="F19" s="56"/>
      <c r="G19" s="72"/>
      <c r="H19" s="56"/>
      <c r="I19"/>
    </row>
    <row r="20" spans="1:9">
      <c r="A20" s="47">
        <v>44722141.040000007</v>
      </c>
      <c r="B20" t="s">
        <v>204</v>
      </c>
      <c r="C20">
        <v>4</v>
      </c>
      <c r="D20" s="71">
        <f>'Alcom-TB'!F83+'Alcom-TB'!F104</f>
        <v>50691445.590000004</v>
      </c>
      <c r="E20" s="72"/>
      <c r="F20" s="56"/>
      <c r="G20" s="72">
        <f t="shared" ref="G20:G30" si="0">SUM(D20:F20)</f>
        <v>50691445.590000004</v>
      </c>
      <c r="H20" s="75">
        <f t="shared" ref="H20:H30" si="1">-A20+G20</f>
        <v>5969304.549999997</v>
      </c>
      <c r="I20" s="30"/>
    </row>
    <row r="21" spans="1:9">
      <c r="A21" s="47">
        <v>19210264.16</v>
      </c>
      <c r="B21" t="s">
        <v>205</v>
      </c>
      <c r="C21">
        <v>5</v>
      </c>
      <c r="D21" s="71">
        <f>'Alcom-TB'!F225</f>
        <v>16551120.119999999</v>
      </c>
      <c r="E21" s="72"/>
      <c r="F21" s="56"/>
      <c r="G21" s="72">
        <f t="shared" si="0"/>
        <v>16551120.119999999</v>
      </c>
      <c r="H21" s="75">
        <f t="shared" si="1"/>
        <v>-2659144.040000001</v>
      </c>
      <c r="I21" s="76">
        <f>+H21+H22</f>
        <v>-3224613.6800000011</v>
      </c>
    </row>
    <row r="22" spans="1:9">
      <c r="A22" s="47">
        <v>972891.87000000011</v>
      </c>
      <c r="B22" t="s">
        <v>206</v>
      </c>
      <c r="C22">
        <v>5</v>
      </c>
      <c r="D22" s="71">
        <f>'Alcom-TB'!F222</f>
        <v>407422.23000000004</v>
      </c>
      <c r="E22" s="261">
        <f>-E30+E35</f>
        <v>0</v>
      </c>
      <c r="F22" s="56"/>
      <c r="G22" s="72">
        <f t="shared" si="0"/>
        <v>407422.23000000004</v>
      </c>
      <c r="H22" s="75">
        <f t="shared" si="1"/>
        <v>-565469.64000000013</v>
      </c>
      <c r="I22" s="76"/>
    </row>
    <row r="23" spans="1:9">
      <c r="A23" s="47">
        <v>0</v>
      </c>
      <c r="B23" s="37" t="s">
        <v>207</v>
      </c>
      <c r="C23" s="37"/>
      <c r="D23" s="71"/>
      <c r="E23" s="72"/>
      <c r="F23" s="75"/>
      <c r="G23" s="72">
        <f t="shared" si="0"/>
        <v>0</v>
      </c>
      <c r="H23" s="75">
        <f t="shared" si="1"/>
        <v>0</v>
      </c>
      <c r="I23" s="30"/>
    </row>
    <row r="24" spans="1:9">
      <c r="A24" s="47">
        <v>0</v>
      </c>
      <c r="B24" s="37" t="s">
        <v>208</v>
      </c>
      <c r="C24" s="37">
        <v>5</v>
      </c>
      <c r="D24" s="71"/>
      <c r="E24" s="72"/>
      <c r="F24" s="75"/>
      <c r="G24" s="72">
        <f t="shared" si="0"/>
        <v>0</v>
      </c>
      <c r="H24" s="75">
        <f t="shared" si="1"/>
        <v>0</v>
      </c>
      <c r="I24" s="30"/>
    </row>
    <row r="25" spans="1:9">
      <c r="A25" s="47">
        <v>0</v>
      </c>
      <c r="B25" s="37" t="s">
        <v>668</v>
      </c>
      <c r="C25" s="37">
        <v>5</v>
      </c>
      <c r="D25" s="71">
        <f>'Alcom-TB'!F193</f>
        <v>0</v>
      </c>
      <c r="E25" s="72"/>
      <c r="F25" s="75"/>
      <c r="G25" s="72">
        <f t="shared" si="0"/>
        <v>0</v>
      </c>
      <c r="H25" s="75">
        <f t="shared" si="1"/>
        <v>0</v>
      </c>
      <c r="I25" s="30"/>
    </row>
    <row r="26" spans="1:9">
      <c r="A26" s="47">
        <v>21739195.580000002</v>
      </c>
      <c r="B26" s="37" t="s">
        <v>210</v>
      </c>
      <c r="C26" s="37">
        <v>5</v>
      </c>
      <c r="D26" s="71">
        <f>'Alcom-TB'!F195</f>
        <v>353370.63</v>
      </c>
      <c r="E26" s="72">
        <f>-E27</f>
        <v>22942418.579999998</v>
      </c>
      <c r="F26" s="75"/>
      <c r="G26" s="72">
        <f t="shared" si="0"/>
        <v>23295789.209999997</v>
      </c>
      <c r="H26" s="75">
        <f t="shared" si="1"/>
        <v>1556593.6299999952</v>
      </c>
      <c r="I26" s="30"/>
    </row>
    <row r="27" spans="1:9">
      <c r="A27" s="47">
        <v>252035.96000000089</v>
      </c>
      <c r="B27" t="s">
        <v>211</v>
      </c>
      <c r="C27">
        <v>5</v>
      </c>
      <c r="D27" s="77">
        <f>'Alcom-TB'!F196</f>
        <v>22942418.579999998</v>
      </c>
      <c r="E27" s="72">
        <f>-D27</f>
        <v>-22942418.579999998</v>
      </c>
      <c r="F27" s="75"/>
      <c r="G27" s="72">
        <f t="shared" si="0"/>
        <v>0</v>
      </c>
      <c r="H27" s="75">
        <f t="shared" si="1"/>
        <v>-252035.96000000089</v>
      </c>
      <c r="I27" s="76">
        <f>SUM(H23:H28)</f>
        <v>1556593.6299999943</v>
      </c>
    </row>
    <row r="28" spans="1:9">
      <c r="A28" s="47">
        <v>0</v>
      </c>
      <c r="B28" t="s">
        <v>212</v>
      </c>
      <c r="C28">
        <v>5</v>
      </c>
      <c r="D28" s="77">
        <f>'Alcom-TB'!F197</f>
        <v>252035.96</v>
      </c>
      <c r="E28" s="72"/>
      <c r="F28" s="75"/>
      <c r="G28" s="72">
        <f t="shared" si="0"/>
        <v>252035.96</v>
      </c>
      <c r="H28" s="75">
        <f t="shared" si="1"/>
        <v>252035.96</v>
      </c>
      <c r="I28" s="76"/>
    </row>
    <row r="29" spans="1:9">
      <c r="A29" s="47">
        <v>0</v>
      </c>
      <c r="B29" t="s">
        <v>802</v>
      </c>
      <c r="D29" s="71"/>
      <c r="E29" s="72"/>
      <c r="F29" s="75"/>
      <c r="G29" s="72">
        <f>SUM(D29:F29)</f>
        <v>0</v>
      </c>
      <c r="H29" s="75"/>
      <c r="I29" s="30"/>
    </row>
    <row r="30" spans="1:9">
      <c r="A30" s="47">
        <v>23928571.389999997</v>
      </c>
      <c r="B30" t="s">
        <v>213</v>
      </c>
      <c r="C30">
        <v>6</v>
      </c>
      <c r="D30" s="71">
        <f>'Alcom-TB'!F17</f>
        <v>17943949.739999998</v>
      </c>
      <c r="E30" s="72"/>
      <c r="F30" s="75"/>
      <c r="G30" s="72">
        <f t="shared" si="0"/>
        <v>17943949.739999998</v>
      </c>
      <c r="H30" s="75">
        <f t="shared" si="1"/>
        <v>-5984621.6499999985</v>
      </c>
      <c r="I30" s="30"/>
    </row>
    <row r="31" spans="1:9">
      <c r="D31" s="71"/>
      <c r="E31" s="72"/>
      <c r="F31" s="75"/>
      <c r="G31" s="72"/>
      <c r="H31" s="75"/>
      <c r="I31" s="30"/>
    </row>
    <row r="32" spans="1:9">
      <c r="A32" s="78">
        <f>SUM(A20:A30)</f>
        <v>110825100.00000001</v>
      </c>
      <c r="D32" s="79">
        <f>SUM(D20:D30)</f>
        <v>109141762.84999999</v>
      </c>
      <c r="E32" s="80">
        <f>SUM(E20:E30)</f>
        <v>0</v>
      </c>
      <c r="F32" s="80">
        <f>SUM(F20:F30)</f>
        <v>0</v>
      </c>
      <c r="G32" s="80">
        <f>SUM(G20:G30)</f>
        <v>109141762.84999999</v>
      </c>
      <c r="H32" s="75">
        <f>-A32+G32</f>
        <v>-1683337.1500000209</v>
      </c>
      <c r="I32" s="81"/>
    </row>
    <row r="33" spans="1:10">
      <c r="D33" s="71"/>
      <c r="E33" s="72"/>
      <c r="F33" s="75"/>
      <c r="G33" s="72"/>
      <c r="H33" s="75"/>
      <c r="I33" s="83"/>
    </row>
    <row r="34" spans="1:10">
      <c r="B34" t="s">
        <v>214</v>
      </c>
      <c r="D34" s="71"/>
      <c r="E34" s="72"/>
      <c r="F34" s="75"/>
      <c r="G34" s="72"/>
      <c r="H34" s="75"/>
      <c r="I34" s="83"/>
    </row>
    <row r="35" spans="1:10">
      <c r="A35" s="47">
        <v>12360746.460000001</v>
      </c>
      <c r="B35" t="s">
        <v>215</v>
      </c>
      <c r="C35">
        <v>7</v>
      </c>
      <c r="D35" s="71">
        <f>-'Alcom-TB'!F181</f>
        <v>13737871.599999998</v>
      </c>
      <c r="E35" s="72"/>
      <c r="F35" s="75"/>
      <c r="G35" s="72">
        <f t="shared" ref="G35:G43" si="2">SUM(D35:F35)</f>
        <v>13737871.599999998</v>
      </c>
      <c r="H35" s="75">
        <f t="shared" ref="H35:H42" si="3">-A35+G35</f>
        <v>1377125.1399999969</v>
      </c>
      <c r="I35" s="76">
        <f>+H35+H36</f>
        <v>-4792025.3200000031</v>
      </c>
    </row>
    <row r="36" spans="1:10">
      <c r="A36" s="47">
        <v>6169150.46</v>
      </c>
      <c r="B36" t="s">
        <v>216</v>
      </c>
      <c r="C36">
        <v>7</v>
      </c>
      <c r="D36" s="71"/>
      <c r="E36" s="72"/>
      <c r="F36" s="75"/>
      <c r="G36" s="72">
        <f t="shared" si="2"/>
        <v>0</v>
      </c>
      <c r="H36" s="75">
        <f t="shared" si="3"/>
        <v>-6169150.46</v>
      </c>
      <c r="I36" s="83"/>
    </row>
    <row r="37" spans="1:10">
      <c r="A37" s="47">
        <v>0</v>
      </c>
      <c r="B37" s="37" t="s">
        <v>217</v>
      </c>
      <c r="C37">
        <v>7</v>
      </c>
      <c r="D37" s="71"/>
      <c r="E37" s="72"/>
      <c r="F37" s="75"/>
      <c r="G37" s="72">
        <f t="shared" si="2"/>
        <v>0</v>
      </c>
      <c r="H37" s="75">
        <f t="shared" si="3"/>
        <v>0</v>
      </c>
      <c r="I37" s="83"/>
    </row>
    <row r="38" spans="1:10">
      <c r="A38" s="47">
        <v>0</v>
      </c>
      <c r="B38" s="37" t="s">
        <v>218</v>
      </c>
      <c r="C38">
        <v>7</v>
      </c>
      <c r="E38" s="72"/>
      <c r="F38" s="75"/>
      <c r="G38" s="72">
        <f t="shared" si="2"/>
        <v>0</v>
      </c>
      <c r="H38" s="75">
        <f t="shared" si="3"/>
        <v>0</v>
      </c>
      <c r="I38" s="83"/>
    </row>
    <row r="39" spans="1:10">
      <c r="A39" s="47">
        <v>0</v>
      </c>
      <c r="B39" s="37" t="s">
        <v>219</v>
      </c>
      <c r="C39">
        <v>7</v>
      </c>
      <c r="D39" s="71"/>
      <c r="E39" s="72"/>
      <c r="F39" s="75">
        <f>-D39</f>
        <v>0</v>
      </c>
      <c r="G39" s="72">
        <f t="shared" si="2"/>
        <v>0</v>
      </c>
      <c r="H39" s="75">
        <f t="shared" si="3"/>
        <v>0</v>
      </c>
      <c r="I39" s="83"/>
    </row>
    <row r="40" spans="1:10">
      <c r="A40" s="47">
        <v>1199634.0900000001</v>
      </c>
      <c r="B40" s="37" t="s">
        <v>220</v>
      </c>
      <c r="C40">
        <v>7</v>
      </c>
      <c r="D40" s="71">
        <f>-'Alcom-TB'!F188</f>
        <v>1161711.3799999999</v>
      </c>
      <c r="E40" s="72"/>
      <c r="F40" s="75"/>
      <c r="G40" s="72">
        <f t="shared" si="2"/>
        <v>1161711.3799999999</v>
      </c>
      <c r="H40" s="75">
        <f t="shared" si="3"/>
        <v>-37922.710000000196</v>
      </c>
      <c r="I40" s="83"/>
    </row>
    <row r="41" spans="1:10">
      <c r="A41" s="47">
        <v>14604.61</v>
      </c>
      <c r="B41" t="s">
        <v>221</v>
      </c>
      <c r="C41">
        <v>7</v>
      </c>
      <c r="D41" s="71">
        <f>-'Alcom-TB'!F185</f>
        <v>10652.18</v>
      </c>
      <c r="E41" s="72"/>
      <c r="F41" s="75"/>
      <c r="G41" s="72">
        <f t="shared" si="2"/>
        <v>10652.18</v>
      </c>
      <c r="H41" s="75">
        <f t="shared" si="3"/>
        <v>-3952.4300000000003</v>
      </c>
      <c r="I41" s="76">
        <f>SUM(H37:H41)</f>
        <v>-41875.140000000196</v>
      </c>
    </row>
    <row r="42" spans="1:10">
      <c r="A42" s="47">
        <v>758000</v>
      </c>
      <c r="B42" t="s">
        <v>222</v>
      </c>
      <c r="C42">
        <v>8</v>
      </c>
      <c r="D42" s="71">
        <f>-'Alcom-TB'!F231</f>
        <v>1301000</v>
      </c>
      <c r="E42" s="72"/>
      <c r="F42" s="75"/>
      <c r="G42" s="72">
        <f t="shared" si="2"/>
        <v>1301000</v>
      </c>
      <c r="H42" s="75">
        <f t="shared" si="3"/>
        <v>543000</v>
      </c>
      <c r="I42" s="83"/>
      <c r="J42" s="82"/>
    </row>
    <row r="43" spans="1:10">
      <c r="A43" s="47">
        <v>0</v>
      </c>
      <c r="B43" s="37" t="s">
        <v>806</v>
      </c>
      <c r="D43" s="71">
        <f>-'Alcom-TB'!F229</f>
        <v>0</v>
      </c>
      <c r="E43" s="72"/>
      <c r="F43" s="75"/>
      <c r="G43" s="72">
        <f t="shared" si="2"/>
        <v>0</v>
      </c>
      <c r="H43" s="75"/>
      <c r="I43" s="84"/>
    </row>
    <row r="44" spans="1:10">
      <c r="A44" s="78">
        <f>SUM(A35:A43)</f>
        <v>20502135.620000001</v>
      </c>
      <c r="D44" s="79">
        <f>SUM(D35:D43)</f>
        <v>16211235.159999996</v>
      </c>
      <c r="E44" s="80">
        <f>SUM(E35:E42)</f>
        <v>0</v>
      </c>
      <c r="F44" s="85"/>
      <c r="G44" s="80">
        <f>SUM(G35:G43)</f>
        <v>16211235.159999996</v>
      </c>
      <c r="H44" s="75">
        <f>-A44+G44</f>
        <v>-4290900.4600000046</v>
      </c>
      <c r="I44" s="84"/>
    </row>
    <row r="45" spans="1:10" s="51" customFormat="1">
      <c r="A45" s="72"/>
      <c r="D45" s="75"/>
      <c r="E45" s="72"/>
      <c r="F45" s="75"/>
      <c r="G45" s="72"/>
      <c r="H45" s="75">
        <f>-A45+G45</f>
        <v>0</v>
      </c>
      <c r="I45" s="84"/>
    </row>
    <row r="46" spans="1:10">
      <c r="A46" s="410">
        <f>A32-A44</f>
        <v>90322964.38000001</v>
      </c>
      <c r="B46" t="s">
        <v>223</v>
      </c>
      <c r="D46" s="71">
        <f>D32-D44</f>
        <v>92930527.689999998</v>
      </c>
      <c r="E46" s="72">
        <f>E32-E44</f>
        <v>0</v>
      </c>
      <c r="F46" s="75"/>
      <c r="G46" s="72">
        <f>G32-G44</f>
        <v>92930527.689999998</v>
      </c>
      <c r="H46" s="75">
        <f>-A46+G46</f>
        <v>2607563.3099999875</v>
      </c>
      <c r="I46" s="84"/>
    </row>
    <row r="47" spans="1:10" ht="13.5" thickBot="1">
      <c r="A47" s="409">
        <f>A46+A17+A14+A9+A8+A7</f>
        <v>196370260.22000003</v>
      </c>
      <c r="D47" s="86">
        <f>D46+D17+D14+D9+D8+D7</f>
        <v>199815710.60999998</v>
      </c>
      <c r="E47" s="87">
        <f>E46+E17+E14+E9+E8+E7</f>
        <v>0</v>
      </c>
      <c r="F47" s="85"/>
      <c r="G47" s="87">
        <f>G46+G17+G14+G9+G8+G7</f>
        <v>199815710.60999998</v>
      </c>
      <c r="H47" s="75">
        <f>-A47+G47</f>
        <v>3445450.3899999559</v>
      </c>
      <c r="I47" s="84"/>
    </row>
    <row r="48" spans="1:10" ht="13.5" thickTop="1">
      <c r="D48" s="71"/>
      <c r="E48" s="72"/>
      <c r="F48" s="75"/>
      <c r="G48" s="72"/>
      <c r="H48" s="75"/>
      <c r="I48" s="84"/>
    </row>
    <row r="49" spans="1:9">
      <c r="B49" t="s">
        <v>224</v>
      </c>
      <c r="D49" s="71"/>
      <c r="E49" s="72"/>
      <c r="F49" s="56"/>
      <c r="G49" s="72"/>
      <c r="H49" s="75"/>
      <c r="I49" s="84"/>
    </row>
    <row r="50" spans="1:9">
      <c r="D50" s="71"/>
      <c r="E50" s="72"/>
      <c r="F50" s="56"/>
      <c r="G50" s="72"/>
      <c r="H50" s="75"/>
      <c r="I50" s="84"/>
    </row>
    <row r="51" spans="1:9">
      <c r="A51" s="47">
        <v>134330848</v>
      </c>
      <c r="B51" t="s">
        <v>225</v>
      </c>
      <c r="C51">
        <v>9</v>
      </c>
      <c r="D51" s="71">
        <f>-'Alcom-TB'!F18</f>
        <v>134330848</v>
      </c>
      <c r="E51" s="72"/>
      <c r="F51" s="56"/>
      <c r="G51" s="72">
        <f t="shared" ref="G51:G61" si="4">SUM(D51:F51)</f>
        <v>134330848</v>
      </c>
      <c r="H51" s="75">
        <f>-A51+G51</f>
        <v>0</v>
      </c>
      <c r="I51" s="84"/>
    </row>
    <row r="52" spans="1:9">
      <c r="D52" s="71"/>
      <c r="E52" s="72"/>
      <c r="F52" s="56"/>
      <c r="G52" s="72"/>
      <c r="H52" s="75"/>
      <c r="I52" s="84"/>
    </row>
    <row r="53" spans="1:9">
      <c r="A53" s="47">
        <v>4113085.2</v>
      </c>
      <c r="B53" t="s">
        <v>226</v>
      </c>
      <c r="C53">
        <v>10</v>
      </c>
      <c r="D53" s="71">
        <f>-'Alcom-TB'!F20-'Alcom-TB'!F21</f>
        <v>4113085.2</v>
      </c>
      <c r="E53" s="72"/>
      <c r="F53" s="56"/>
      <c r="G53" s="72">
        <f t="shared" si="4"/>
        <v>4113085.2</v>
      </c>
      <c r="H53" s="75">
        <f>-A53+G53</f>
        <v>0</v>
      </c>
      <c r="I53" s="84"/>
    </row>
    <row r="54" spans="1:9">
      <c r="D54" s="71"/>
      <c r="E54" s="72"/>
      <c r="F54" s="56"/>
      <c r="G54" s="72"/>
      <c r="H54" s="75"/>
      <c r="I54" s="84"/>
    </row>
    <row r="55" spans="1:9">
      <c r="A55" s="47">
        <v>8499736</v>
      </c>
      <c r="B55" t="s">
        <v>227</v>
      </c>
      <c r="C55">
        <v>11</v>
      </c>
      <c r="D55" s="71">
        <f>-'Alcom-TB'!F22-'Alcom-TB'!F23</f>
        <v>8499736</v>
      </c>
      <c r="E55" s="72"/>
      <c r="F55" s="56"/>
      <c r="G55" s="72">
        <f t="shared" si="4"/>
        <v>8499736</v>
      </c>
      <c r="H55" s="75">
        <f>-A55+G55</f>
        <v>0</v>
      </c>
      <c r="I55" s="84"/>
    </row>
    <row r="56" spans="1:9">
      <c r="B56" s="82"/>
      <c r="D56" s="71"/>
      <c r="E56" s="72"/>
      <c r="F56" s="56"/>
      <c r="G56" s="72"/>
      <c r="H56" s="75"/>
      <c r="I56" s="84"/>
    </row>
    <row r="57" spans="1:9">
      <c r="A57" s="47">
        <v>40146673.460000001</v>
      </c>
      <c r="B57" t="s">
        <v>228</v>
      </c>
      <c r="C57">
        <v>12</v>
      </c>
      <c r="D57" s="6">
        <f>-'Alcom-TB'!F19-D58</f>
        <v>40146673.460000001</v>
      </c>
      <c r="E57" s="72"/>
      <c r="F57" s="56"/>
      <c r="G57" s="72">
        <f t="shared" si="4"/>
        <v>40146673.460000001</v>
      </c>
      <c r="H57" s="75">
        <f>-A57+G57</f>
        <v>0</v>
      </c>
      <c r="I57" s="84"/>
    </row>
    <row r="58" spans="1:9">
      <c r="B58" t="s">
        <v>229</v>
      </c>
      <c r="C58">
        <v>12</v>
      </c>
      <c r="D58" s="71">
        <f>'Alcom-TB'!F229</f>
        <v>0</v>
      </c>
      <c r="E58" s="72"/>
      <c r="F58" s="89"/>
      <c r="G58" s="72">
        <f t="shared" si="4"/>
        <v>0</v>
      </c>
      <c r="H58" s="75">
        <f>-A58+G58</f>
        <v>0</v>
      </c>
      <c r="I58" s="84"/>
    </row>
    <row r="59" spans="1:9">
      <c r="B59" t="s">
        <v>230</v>
      </c>
      <c r="C59">
        <v>12</v>
      </c>
      <c r="D59" s="71"/>
      <c r="E59" s="72"/>
      <c r="F59" s="89"/>
      <c r="G59" s="72"/>
      <c r="H59" s="75">
        <f>-A59+G59</f>
        <v>0</v>
      </c>
      <c r="I59" s="84"/>
    </row>
    <row r="60" spans="1:9">
      <c r="B60" t="s">
        <v>231</v>
      </c>
      <c r="C60">
        <v>12</v>
      </c>
      <c r="D60" s="71">
        <f>'Alcom-TB'!F235</f>
        <v>3190338.3900000462</v>
      </c>
      <c r="E60" s="72"/>
      <c r="F60" s="56"/>
      <c r="G60" s="72">
        <f t="shared" si="4"/>
        <v>3190338.3900000462</v>
      </c>
      <c r="H60" s="75">
        <f>-A60+G60</f>
        <v>3190338.3900000462</v>
      </c>
      <c r="I60" s="84"/>
    </row>
    <row r="61" spans="1:9">
      <c r="A61" s="47">
        <v>-2330493.7599999998</v>
      </c>
      <c r="B61" t="s">
        <v>812</v>
      </c>
      <c r="C61">
        <v>13</v>
      </c>
      <c r="D61" s="71">
        <f>-'Alcom-TB'!F24</f>
        <v>-2330493.7599999998</v>
      </c>
      <c r="E61" s="72"/>
      <c r="F61" s="56"/>
      <c r="G61" s="72">
        <f t="shared" si="4"/>
        <v>-2330493.7599999998</v>
      </c>
      <c r="H61" s="75">
        <f>-A61+G61</f>
        <v>0</v>
      </c>
      <c r="I61" s="84"/>
    </row>
    <row r="62" spans="1:9">
      <c r="A62" s="90"/>
      <c r="D62" s="91"/>
      <c r="E62" s="92"/>
      <c r="F62" s="93"/>
      <c r="G62" s="92"/>
      <c r="H62" s="94"/>
      <c r="I62" s="84"/>
    </row>
    <row r="63" spans="1:9">
      <c r="A63" s="411">
        <f>SUM(A51:A62)</f>
        <v>184759848.90000001</v>
      </c>
      <c r="B63" t="s">
        <v>232</v>
      </c>
      <c r="D63" s="95">
        <f>SUM(D51:D62)</f>
        <v>187950187.29000005</v>
      </c>
      <c r="E63" s="96">
        <f>SUM(E51:E62)</f>
        <v>0</v>
      </c>
      <c r="F63" s="93"/>
      <c r="G63" s="72">
        <f>SUM(G51:G62)</f>
        <v>187950187.29000005</v>
      </c>
      <c r="H63" s="75">
        <f>-A63+G63</f>
        <v>3190338.3900000453</v>
      </c>
      <c r="I63" s="84"/>
    </row>
    <row r="64" spans="1:9">
      <c r="B64" s="73"/>
      <c r="D64" s="97"/>
      <c r="E64" s="72"/>
      <c r="F64" s="56"/>
      <c r="G64" s="72"/>
      <c r="H64" s="75"/>
      <c r="I64" s="84"/>
    </row>
    <row r="65" spans="1:9">
      <c r="B65" t="s">
        <v>233</v>
      </c>
      <c r="C65">
        <v>14</v>
      </c>
      <c r="D65" s="71"/>
      <c r="E65" s="72"/>
      <c r="F65" s="56"/>
      <c r="G65" s="72"/>
      <c r="H65" s="75">
        <f>-A65+G65</f>
        <v>0</v>
      </c>
      <c r="I65" s="84"/>
    </row>
    <row r="66" spans="1:9">
      <c r="D66" s="71"/>
      <c r="E66" s="72"/>
      <c r="F66" s="56"/>
      <c r="G66" s="72"/>
      <c r="H66" s="75"/>
      <c r="I66" s="84"/>
    </row>
    <row r="67" spans="1:9">
      <c r="A67" s="47">
        <v>5289350.96</v>
      </c>
      <c r="B67" t="s">
        <v>234</v>
      </c>
      <c r="C67">
        <v>15</v>
      </c>
      <c r="D67" s="71">
        <f>-'Alcom-TB'!F190</f>
        <v>5439462.96</v>
      </c>
      <c r="E67" s="72"/>
      <c r="F67" s="56"/>
      <c r="G67" s="72">
        <f>SUM(D67:F67)</f>
        <v>5439462.96</v>
      </c>
      <c r="H67" s="75">
        <f>-A67+G67</f>
        <v>150112</v>
      </c>
      <c r="I67" s="84"/>
    </row>
    <row r="68" spans="1:9">
      <c r="D68" s="71"/>
      <c r="E68" s="72"/>
      <c r="F68" s="56"/>
      <c r="G68" s="72"/>
      <c r="H68" s="75"/>
      <c r="I68" s="84"/>
    </row>
    <row r="69" spans="1:9">
      <c r="B69" t="s">
        <v>235</v>
      </c>
      <c r="C69">
        <v>16</v>
      </c>
      <c r="D69" s="71">
        <v>0</v>
      </c>
      <c r="E69" s="72"/>
      <c r="F69" s="56"/>
      <c r="G69" s="72"/>
      <c r="H69" s="75">
        <f>-A69+G69</f>
        <v>0</v>
      </c>
      <c r="I69" s="84"/>
    </row>
    <row r="70" spans="1:9">
      <c r="D70" s="71"/>
      <c r="E70" s="72"/>
      <c r="F70" s="56"/>
      <c r="G70" s="72"/>
      <c r="H70" s="75"/>
      <c r="I70" s="84"/>
    </row>
    <row r="71" spans="1:9">
      <c r="B71" s="98" t="s">
        <v>236</v>
      </c>
      <c r="C71" s="99">
        <v>17</v>
      </c>
      <c r="D71" s="71">
        <v>0</v>
      </c>
      <c r="E71" s="72"/>
      <c r="F71" s="56"/>
      <c r="G71" s="72"/>
      <c r="H71" s="75">
        <f>-A71+G71</f>
        <v>0</v>
      </c>
      <c r="I71" s="84"/>
    </row>
    <row r="72" spans="1:9">
      <c r="D72" s="71"/>
      <c r="E72" s="72"/>
      <c r="F72" s="56"/>
      <c r="G72" s="72"/>
      <c r="H72" s="75"/>
      <c r="I72" s="85"/>
    </row>
    <row r="73" spans="1:9">
      <c r="A73" s="47">
        <v>6321060.3600000003</v>
      </c>
      <c r="B73" t="s">
        <v>237</v>
      </c>
      <c r="C73">
        <v>18</v>
      </c>
      <c r="D73" s="71">
        <f>-'Alcom-TB'!F234</f>
        <v>6426060.3600000003</v>
      </c>
      <c r="E73" s="72"/>
      <c r="F73" s="56"/>
      <c r="G73" s="72">
        <f>SUM(D73:F73)</f>
        <v>6426060.3600000003</v>
      </c>
      <c r="H73" s="75">
        <f>-A73+G73</f>
        <v>105000</v>
      </c>
      <c r="I73" s="84"/>
    </row>
    <row r="74" spans="1:9">
      <c r="D74" s="71"/>
      <c r="E74" s="72"/>
      <c r="F74" s="56"/>
      <c r="G74" s="72"/>
      <c r="H74" s="75"/>
      <c r="I74" s="84"/>
    </row>
    <row r="75" spans="1:9">
      <c r="D75" s="71"/>
      <c r="E75" s="72"/>
      <c r="F75" s="56"/>
      <c r="G75" s="72"/>
      <c r="H75" s="100"/>
      <c r="I75" s="84"/>
    </row>
    <row r="76" spans="1:9" ht="13.5" thickBot="1">
      <c r="A76" s="409">
        <f>SUM(A63:A75)</f>
        <v>196370260.22000003</v>
      </c>
      <c r="D76" s="86">
        <f>SUM(D63:D75)</f>
        <v>199815710.61000007</v>
      </c>
      <c r="E76" s="87">
        <f>SUM(E63:E75)</f>
        <v>0</v>
      </c>
      <c r="F76" s="101"/>
      <c r="G76" s="87">
        <f>SUM(G63:G75)</f>
        <v>199815710.61000007</v>
      </c>
      <c r="H76" s="75">
        <f>-A76+G76</f>
        <v>3445450.3900000453</v>
      </c>
      <c r="I76" s="84"/>
    </row>
    <row r="77" spans="1:9" ht="13.5" thickTop="1">
      <c r="D77" s="71"/>
      <c r="E77" s="72"/>
      <c r="F77" s="56"/>
      <c r="H77" s="75"/>
      <c r="I77" s="84"/>
    </row>
    <row r="78" spans="1:9">
      <c r="A78" s="102">
        <f>+A76-A47</f>
        <v>0</v>
      </c>
      <c r="D78" s="103">
        <f>+D76-D47</f>
        <v>0</v>
      </c>
      <c r="E78" s="104">
        <f>+E76-E47</f>
        <v>0</v>
      </c>
      <c r="F78" s="59">
        <f>+F76-F47</f>
        <v>0</v>
      </c>
      <c r="G78" s="52">
        <f>+G76-G47</f>
        <v>0</v>
      </c>
      <c r="H78" s="100">
        <f>+H76-H47</f>
        <v>8.9406967163085938E-8</v>
      </c>
      <c r="I78" s="75"/>
    </row>
    <row r="79" spans="1:9">
      <c r="B79" t="s">
        <v>238</v>
      </c>
      <c r="E79" s="72"/>
      <c r="H79" s="106"/>
      <c r="I79" s="83"/>
    </row>
    <row r="80" spans="1:9">
      <c r="A80" s="52">
        <f>(+A63-A17)/A81</f>
        <v>1.3970303757116498</v>
      </c>
      <c r="B80" t="s">
        <v>239</v>
      </c>
      <c r="D80" s="108">
        <f>(+D63-D17)/D81</f>
        <v>1.4211535803265301</v>
      </c>
      <c r="G80" s="52">
        <f>(+G63-G17)/G81</f>
        <v>1.4211535803265301</v>
      </c>
      <c r="H80" s="109"/>
      <c r="I80" s="110"/>
    </row>
    <row r="81" spans="1:9" s="37" customFormat="1">
      <c r="A81" s="401">
        <f>A51-2079000</f>
        <v>132251848</v>
      </c>
      <c r="B81" s="37" t="s">
        <v>714</v>
      </c>
      <c r="D81" s="433">
        <f>D51-2079000</f>
        <v>132251848</v>
      </c>
      <c r="E81" s="124"/>
      <c r="F81" s="402"/>
      <c r="G81" s="72">
        <f>+D81</f>
        <v>132251848</v>
      </c>
      <c r="H81" s="403"/>
      <c r="I81" s="397"/>
    </row>
    <row r="82" spans="1:9">
      <c r="D82" s="108"/>
      <c r="H82" s="106"/>
      <c r="I82" s="83"/>
    </row>
    <row r="83" spans="1:9">
      <c r="D83" s="111"/>
      <c r="H83" s="106"/>
      <c r="I83" s="83"/>
    </row>
    <row r="86" spans="1:9">
      <c r="A86" s="112">
        <f t="shared" ref="A86:A97" si="5">132251848</f>
        <v>132251848</v>
      </c>
      <c r="B86" s="353" t="s">
        <v>318</v>
      </c>
      <c r="D86" s="112">
        <f>132251848</f>
        <v>132251848</v>
      </c>
      <c r="E86" s="102"/>
    </row>
    <row r="87" spans="1:9">
      <c r="A87" s="112">
        <f t="shared" si="5"/>
        <v>132251848</v>
      </c>
      <c r="B87" s="353" t="s">
        <v>319</v>
      </c>
      <c r="D87" s="112">
        <f>132251848</f>
        <v>132251848</v>
      </c>
      <c r="E87" s="102"/>
      <c r="F87" s="113"/>
    </row>
    <row r="88" spans="1:9">
      <c r="A88" s="112">
        <f t="shared" si="5"/>
        <v>132251848</v>
      </c>
      <c r="B88" s="353" t="s">
        <v>320</v>
      </c>
      <c r="D88" s="112">
        <f>132251848</f>
        <v>132251848</v>
      </c>
      <c r="E88" s="102">
        <f>D88-D51</f>
        <v>-2079000</v>
      </c>
    </row>
    <row r="89" spans="1:9">
      <c r="A89" s="112">
        <f t="shared" si="5"/>
        <v>132251848</v>
      </c>
      <c r="B89" s="353" t="s">
        <v>321</v>
      </c>
      <c r="D89" s="112"/>
      <c r="E89" s="102"/>
      <c r="F89" s="113"/>
    </row>
    <row r="90" spans="1:9">
      <c r="A90" s="112">
        <f t="shared" si="5"/>
        <v>132251848</v>
      </c>
      <c r="B90" s="353" t="s">
        <v>322</v>
      </c>
      <c r="D90" s="112"/>
      <c r="E90" s="102"/>
    </row>
    <row r="91" spans="1:9">
      <c r="A91" s="112">
        <f t="shared" si="5"/>
        <v>132251848</v>
      </c>
      <c r="B91" s="353" t="s">
        <v>323</v>
      </c>
      <c r="D91" s="112"/>
      <c r="E91" s="102"/>
    </row>
    <row r="92" spans="1:9">
      <c r="A92" s="112">
        <f t="shared" si="5"/>
        <v>132251848</v>
      </c>
      <c r="B92" s="429" t="s">
        <v>324</v>
      </c>
      <c r="C92" s="112"/>
      <c r="D92" s="112"/>
      <c r="E92" s="102"/>
    </row>
    <row r="93" spans="1:9">
      <c r="A93" s="112">
        <f t="shared" si="5"/>
        <v>132251848</v>
      </c>
      <c r="B93" s="429" t="s">
        <v>325</v>
      </c>
      <c r="C93" s="112"/>
      <c r="D93" s="112"/>
    </row>
    <row r="94" spans="1:9">
      <c r="A94" s="112">
        <f t="shared" si="5"/>
        <v>132251848</v>
      </c>
      <c r="B94" s="429" t="s">
        <v>326</v>
      </c>
      <c r="C94" s="112"/>
      <c r="D94" s="112"/>
    </row>
    <row r="95" spans="1:9">
      <c r="A95" s="112">
        <f t="shared" si="5"/>
        <v>132251848</v>
      </c>
      <c r="B95" s="429" t="s">
        <v>315</v>
      </c>
      <c r="C95" s="112"/>
      <c r="D95" s="112"/>
    </row>
    <row r="96" spans="1:9">
      <c r="A96" s="112">
        <f t="shared" si="5"/>
        <v>132251848</v>
      </c>
      <c r="B96" s="429" t="s">
        <v>316</v>
      </c>
      <c r="C96" s="112"/>
      <c r="D96" s="112"/>
    </row>
    <row r="97" spans="1:9">
      <c r="A97" s="112">
        <f t="shared" si="5"/>
        <v>132251848</v>
      </c>
      <c r="B97" s="429" t="s">
        <v>317</v>
      </c>
      <c r="C97" s="5"/>
      <c r="D97" s="112"/>
      <c r="E97" s="102"/>
      <c r="F97" s="50"/>
      <c r="H97" s="50"/>
      <c r="I97" s="72"/>
    </row>
    <row r="98" spans="1:9">
      <c r="A98" s="112">
        <f>AVERAGE(A86:A97)</f>
        <v>132251848</v>
      </c>
      <c r="B98" s="114" t="s">
        <v>240</v>
      </c>
      <c r="C98" s="112"/>
      <c r="D98" s="112">
        <f>AVERAGE(D86:D97)</f>
        <v>132251848</v>
      </c>
    </row>
  </sheetData>
  <phoneticPr fontId="0" type="noConversion"/>
  <printOptions horizontalCentered="1"/>
  <pageMargins left="0.25" right="0.25" top="0.5" bottom="0.5" header="0.25" footer="0.24"/>
  <pageSetup paperSize="9" scale="75" orientation="portrait" blackAndWhite="1" horizontalDpi="300" verticalDpi="300" r:id="rId1"/>
  <headerFooter alignWithMargins="0">
    <oddFooter>&amp;C&amp;F&amp;D&amp;R&amp;T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>
    <tabColor theme="1" tint="0.499984740745262"/>
    <pageSetUpPr fitToPage="1"/>
  </sheetPr>
  <dimension ref="A1:R94"/>
  <sheetViews>
    <sheetView topLeftCell="F44" workbookViewId="0"/>
  </sheetViews>
  <sheetFormatPr defaultRowHeight="12.75"/>
  <cols>
    <col min="1" max="9" width="12.140625" style="53" customWidth="1"/>
    <col min="10" max="10" width="36.28515625" customWidth="1"/>
    <col min="11" max="11" width="3.7109375" customWidth="1"/>
    <col min="12" max="12" width="13.85546875" style="51" customWidth="1"/>
    <col min="13" max="13" width="5.5703125" style="51" customWidth="1"/>
    <col min="14" max="14" width="13.85546875" style="53" customWidth="1"/>
    <col min="15" max="18" width="13.85546875" customWidth="1"/>
  </cols>
  <sheetData>
    <row r="1" spans="1:18">
      <c r="J1" s="28" t="s">
        <v>193</v>
      </c>
      <c r="K1" s="28"/>
    </row>
    <row r="2" spans="1:18">
      <c r="J2" s="444" t="s">
        <v>2627</v>
      </c>
      <c r="K2" s="54"/>
    </row>
    <row r="3" spans="1:18">
      <c r="A3" s="168">
        <v>2002</v>
      </c>
      <c r="B3" s="168">
        <v>2003</v>
      </c>
      <c r="C3" s="168">
        <v>2004</v>
      </c>
      <c r="D3" s="168">
        <v>2005</v>
      </c>
      <c r="E3" s="168">
        <v>2006</v>
      </c>
      <c r="F3" s="125">
        <v>39508</v>
      </c>
      <c r="G3" s="125">
        <v>39873</v>
      </c>
      <c r="H3" s="125">
        <v>40238</v>
      </c>
      <c r="I3" s="125">
        <v>40603</v>
      </c>
      <c r="L3" s="169"/>
      <c r="M3" s="170"/>
      <c r="N3" s="61"/>
      <c r="P3" s="125">
        <v>40695</v>
      </c>
    </row>
    <row r="4" spans="1:18">
      <c r="A4" s="171" t="s">
        <v>310</v>
      </c>
      <c r="B4" s="171" t="s">
        <v>310</v>
      </c>
      <c r="C4" s="171" t="s">
        <v>310</v>
      </c>
      <c r="D4" s="171" t="s">
        <v>310</v>
      </c>
      <c r="E4" s="171" t="s">
        <v>310</v>
      </c>
      <c r="F4" s="171" t="s">
        <v>310</v>
      </c>
      <c r="G4" s="171" t="s">
        <v>310</v>
      </c>
      <c r="H4" s="171" t="s">
        <v>310</v>
      </c>
      <c r="I4" s="171" t="s">
        <v>310</v>
      </c>
      <c r="L4" s="65" t="s">
        <v>0</v>
      </c>
      <c r="M4" s="65"/>
      <c r="N4" s="172" t="s">
        <v>253</v>
      </c>
      <c r="O4" s="172" t="s">
        <v>312</v>
      </c>
      <c r="P4" s="171" t="s">
        <v>310</v>
      </c>
    </row>
    <row r="5" spans="1:18">
      <c r="A5" s="173" t="s">
        <v>197</v>
      </c>
      <c r="B5" s="173" t="s">
        <v>197</v>
      </c>
      <c r="C5" s="173" t="s">
        <v>197</v>
      </c>
      <c r="D5" s="173" t="s">
        <v>197</v>
      </c>
      <c r="E5" s="173" t="s">
        <v>197</v>
      </c>
      <c r="F5" s="173" t="s">
        <v>197</v>
      </c>
      <c r="G5" s="173" t="s">
        <v>197</v>
      </c>
      <c r="H5" s="173" t="s">
        <v>197</v>
      </c>
      <c r="I5" s="173" t="s">
        <v>197</v>
      </c>
      <c r="L5" s="67" t="s">
        <v>197</v>
      </c>
      <c r="M5" s="67"/>
      <c r="N5" s="175" t="s">
        <v>197</v>
      </c>
      <c r="O5" s="175" t="s">
        <v>197</v>
      </c>
      <c r="P5" s="66" t="s">
        <v>197</v>
      </c>
    </row>
    <row r="6" spans="1:18">
      <c r="A6" s="72"/>
      <c r="B6" s="72"/>
      <c r="C6" s="72"/>
      <c r="D6" s="72"/>
      <c r="E6" s="72"/>
      <c r="F6" s="72"/>
      <c r="G6" s="72"/>
      <c r="H6" s="72"/>
      <c r="I6" s="72"/>
      <c r="P6" s="25"/>
    </row>
    <row r="7" spans="1:18">
      <c r="A7" s="72">
        <v>171133872.24000001</v>
      </c>
      <c r="B7" s="72">
        <v>144966267.43000001</v>
      </c>
      <c r="C7" s="72">
        <v>118179319.72</v>
      </c>
      <c r="D7" s="72">
        <v>113106051.61000001</v>
      </c>
      <c r="E7" s="72">
        <v>105332988.44</v>
      </c>
      <c r="F7" s="72">
        <f>98393279.52-F8</f>
        <v>83199624.519999996</v>
      </c>
      <c r="G7" s="72">
        <v>77383238.519999981</v>
      </c>
      <c r="H7" s="72">
        <f>71661608.56+14815631</f>
        <v>86477239.560000002</v>
      </c>
      <c r="I7" s="72">
        <v>90578098.379999995</v>
      </c>
      <c r="J7" t="s">
        <v>766</v>
      </c>
      <c r="L7" s="177">
        <f>+'alcom-BalSht0611'!G7-L8</f>
        <v>80025382.919999987</v>
      </c>
      <c r="M7" s="176"/>
      <c r="N7" s="192">
        <f>+'ANSC-BalSht0611'!G7</f>
        <v>11201843.539999995</v>
      </c>
      <c r="O7" s="27">
        <f>-111680+80270+31410</f>
        <v>0</v>
      </c>
      <c r="P7" s="107">
        <f>SUM(L7:O7)</f>
        <v>91227226.459999979</v>
      </c>
      <c r="Q7" s="56">
        <f>-G7+P7</f>
        <v>13843987.939999998</v>
      </c>
    </row>
    <row r="8" spans="1:18">
      <c r="A8" s="72"/>
      <c r="B8" s="72"/>
      <c r="C8" s="72"/>
      <c r="D8" s="72"/>
      <c r="E8" s="72"/>
      <c r="F8" s="72">
        <v>15193655</v>
      </c>
      <c r="G8" s="72">
        <v>15004643</v>
      </c>
      <c r="H8" s="72">
        <f>14815631-14815631</f>
        <v>0</v>
      </c>
      <c r="I8" s="72">
        <v>0</v>
      </c>
      <c r="J8" t="s">
        <v>767</v>
      </c>
      <c r="L8" s="431"/>
      <c r="M8" s="176"/>
      <c r="N8" s="192"/>
      <c r="O8" s="27"/>
      <c r="P8" s="107">
        <f>SUM(L8:O8)</f>
        <v>0</v>
      </c>
      <c r="Q8" s="56">
        <f>-G8+P8</f>
        <v>-15004643</v>
      </c>
    </row>
    <row r="9" spans="1:18">
      <c r="A9" s="72"/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/>
      <c r="H9" s="72"/>
      <c r="I9" s="72">
        <v>0</v>
      </c>
      <c r="J9" t="s">
        <v>306</v>
      </c>
      <c r="L9" s="177">
        <f>+'alcom-BalSht0611'!G9</f>
        <v>26859800</v>
      </c>
      <c r="M9" s="176"/>
      <c r="N9" s="113"/>
      <c r="O9" s="27">
        <f>-L9</f>
        <v>-26859800</v>
      </c>
      <c r="P9" s="107">
        <f>SUM(L9:O9)</f>
        <v>0</v>
      </c>
      <c r="Q9" s="56">
        <f>-G9+P9</f>
        <v>0</v>
      </c>
    </row>
    <row r="10" spans="1:18">
      <c r="A10" s="72"/>
      <c r="B10" s="72"/>
      <c r="C10" s="72"/>
      <c r="D10" s="72"/>
      <c r="E10" s="72"/>
      <c r="F10" s="72"/>
      <c r="G10" s="72"/>
      <c r="H10" s="72"/>
      <c r="I10" s="72"/>
      <c r="J10" t="s">
        <v>201</v>
      </c>
      <c r="L10" s="176"/>
      <c r="M10" s="176"/>
      <c r="N10" s="113"/>
      <c r="O10" s="27"/>
      <c r="P10" s="107">
        <f>SUM(L10:O10)</f>
        <v>0</v>
      </c>
    </row>
    <row r="11" spans="1:18">
      <c r="A11" s="72"/>
      <c r="B11" s="72"/>
      <c r="C11" s="72"/>
      <c r="D11" s="72"/>
      <c r="E11" s="72"/>
      <c r="F11" s="72"/>
      <c r="G11" s="72"/>
      <c r="H11" s="72"/>
      <c r="I11" s="72"/>
      <c r="L11" s="176"/>
      <c r="M11" s="113"/>
      <c r="N11" s="113"/>
      <c r="O11" s="27"/>
      <c r="P11" s="107"/>
    </row>
    <row r="12" spans="1:18">
      <c r="A12" s="72"/>
      <c r="B12" s="72"/>
      <c r="C12" s="72"/>
      <c r="D12" s="72"/>
      <c r="E12" s="72"/>
      <c r="F12" s="72"/>
      <c r="G12" s="72"/>
      <c r="H12" s="72"/>
      <c r="I12" s="72">
        <v>0</v>
      </c>
      <c r="J12" t="s">
        <v>669</v>
      </c>
      <c r="L12" s="176"/>
      <c r="M12" s="113"/>
      <c r="N12" s="113"/>
      <c r="O12" s="27"/>
      <c r="P12" s="107">
        <f>SUM(L12:O12)</f>
        <v>0</v>
      </c>
    </row>
    <row r="13" spans="1:18">
      <c r="A13" s="72"/>
      <c r="B13" s="72"/>
      <c r="C13" s="72"/>
      <c r="D13" s="72"/>
      <c r="E13" s="72"/>
      <c r="F13" s="72"/>
      <c r="G13" s="72"/>
      <c r="H13" s="72"/>
      <c r="I13" s="72"/>
      <c r="L13" s="176"/>
      <c r="M13" s="113"/>
      <c r="N13" s="113"/>
      <c r="O13" s="27"/>
      <c r="P13" s="107"/>
    </row>
    <row r="14" spans="1:18">
      <c r="A14" s="72"/>
      <c r="B14" s="72"/>
      <c r="C14" s="72"/>
      <c r="D14" s="72"/>
      <c r="E14" s="72"/>
      <c r="F14" s="72"/>
      <c r="G14" s="72"/>
      <c r="H14" s="72"/>
      <c r="I14" s="72"/>
      <c r="J14" t="s">
        <v>203</v>
      </c>
      <c r="L14" s="176"/>
      <c r="M14" s="113"/>
      <c r="N14" s="113"/>
      <c r="O14" s="27"/>
      <c r="P14" s="107"/>
    </row>
    <row r="15" spans="1:18">
      <c r="A15" s="72">
        <v>39303983.299999997</v>
      </c>
      <c r="B15" s="72">
        <v>36778921.450000003</v>
      </c>
      <c r="C15" s="72">
        <v>50836699.93</v>
      </c>
      <c r="D15" s="72">
        <v>53522763.699999996</v>
      </c>
      <c r="E15" s="72">
        <v>69213874.460000008</v>
      </c>
      <c r="F15" s="72">
        <v>66193923.269999996</v>
      </c>
      <c r="G15" s="72">
        <v>47552498.590000004</v>
      </c>
      <c r="H15" s="72">
        <v>52703558.109999999</v>
      </c>
      <c r="I15" s="72">
        <v>51628770.710000008</v>
      </c>
      <c r="J15" t="s">
        <v>204</v>
      </c>
      <c r="L15" s="177">
        <f>+'alcom-BalSht0611'!G20</f>
        <v>50691445.590000004</v>
      </c>
      <c r="M15" s="176"/>
      <c r="N15" s="192">
        <f>+'ANSC-BalSht0611'!G20</f>
        <v>7959064.6999999993</v>
      </c>
      <c r="O15" s="27">
        <v>-643754.93999999994</v>
      </c>
      <c r="P15" s="107">
        <f t="shared" ref="P15:P25" si="0">SUM(L15:O15)</f>
        <v>58006755.350000009</v>
      </c>
      <c r="Q15" s="56">
        <f t="shared" ref="Q15:Q25" si="1">-G15+P15</f>
        <v>10454256.760000005</v>
      </c>
    </row>
    <row r="16" spans="1:18">
      <c r="A16" s="72">
        <v>29357920.260000002</v>
      </c>
      <c r="B16" s="72">
        <v>29288432.250000007</v>
      </c>
      <c r="C16" s="72">
        <v>30466403.069999997</v>
      </c>
      <c r="D16" s="72">
        <v>30484962.259999998</v>
      </c>
      <c r="E16" s="72">
        <v>39303310.780000001</v>
      </c>
      <c r="F16" s="72">
        <v>48759493.879999995</v>
      </c>
      <c r="G16" s="72">
        <v>19089164.809999999</v>
      </c>
      <c r="H16" s="72">
        <v>35561220.020000003</v>
      </c>
      <c r="I16" s="72">
        <v>34373573.969999999</v>
      </c>
      <c r="J16" t="s">
        <v>205</v>
      </c>
      <c r="L16" s="177">
        <f>+'alcom-BalSht0611'!G21</f>
        <v>16551120.119999999</v>
      </c>
      <c r="M16" s="176"/>
      <c r="N16" s="192">
        <f>+'ANSC-BalSht0611'!G21</f>
        <v>16013521.16</v>
      </c>
      <c r="O16" s="27"/>
      <c r="P16" s="107">
        <f t="shared" si="0"/>
        <v>32564641.280000001</v>
      </c>
      <c r="Q16" s="56">
        <f t="shared" si="1"/>
        <v>13475476.470000003</v>
      </c>
      <c r="R16" s="74">
        <f>Q16+Q17</f>
        <v>13081709.240000002</v>
      </c>
    </row>
    <row r="17" spans="1:18">
      <c r="A17" s="72">
        <v>1860703.19</v>
      </c>
      <c r="B17" s="72">
        <v>6243092.7700000005</v>
      </c>
      <c r="C17" s="72">
        <v>29452186.59</v>
      </c>
      <c r="D17" s="72">
        <v>980305.94</v>
      </c>
      <c r="E17" s="72">
        <v>501130.68</v>
      </c>
      <c r="F17" s="72">
        <v>2588923.91</v>
      </c>
      <c r="G17" s="72">
        <v>804714.01</v>
      </c>
      <c r="H17" s="72">
        <v>5374046.8700000001</v>
      </c>
      <c r="I17" s="72">
        <v>1183230.1700000002</v>
      </c>
      <c r="J17" t="s">
        <v>206</v>
      </c>
      <c r="L17" s="177">
        <f>+'alcom-BalSht0611'!G22</f>
        <v>407422.23000000004</v>
      </c>
      <c r="M17" s="176"/>
      <c r="N17" s="192">
        <f>+'ANSC-BalSht0611'!G22</f>
        <v>3524.5500000000175</v>
      </c>
      <c r="O17" s="27"/>
      <c r="P17" s="107">
        <f t="shared" si="0"/>
        <v>410946.78</v>
      </c>
      <c r="Q17" s="56">
        <f t="shared" si="1"/>
        <v>-393767.23</v>
      </c>
    </row>
    <row r="18" spans="1:18">
      <c r="A18" s="72"/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37" t="s">
        <v>207</v>
      </c>
      <c r="K18" s="37"/>
      <c r="L18" s="177">
        <f>+'alcom-BalSht0611'!G23</f>
        <v>0</v>
      </c>
      <c r="M18" s="176"/>
      <c r="N18" s="192">
        <f>+'ANSC-BalSht0611'!G23</f>
        <v>1161711.3799999999</v>
      </c>
      <c r="O18" s="27">
        <f>-N18</f>
        <v>-1161711.3799999999</v>
      </c>
      <c r="P18" s="107">
        <f t="shared" si="0"/>
        <v>0</v>
      </c>
      <c r="Q18" s="56">
        <f t="shared" si="1"/>
        <v>0</v>
      </c>
    </row>
    <row r="19" spans="1:18">
      <c r="A19" s="72"/>
      <c r="B19" s="72">
        <v>0.02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37" t="s">
        <v>208</v>
      </c>
      <c r="K19" s="37"/>
      <c r="L19" s="177">
        <f>+'alcom-BalSht0611'!G24</f>
        <v>0</v>
      </c>
      <c r="M19" s="176"/>
      <c r="N19" s="192">
        <f>+'ANSC-BalSht0611'!G24</f>
        <v>0</v>
      </c>
      <c r="O19" s="27"/>
      <c r="P19" s="107">
        <f t="shared" si="0"/>
        <v>0</v>
      </c>
      <c r="Q19" s="56">
        <f t="shared" si="1"/>
        <v>0</v>
      </c>
    </row>
    <row r="20" spans="1:18">
      <c r="A20" s="72"/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37" t="s">
        <v>668</v>
      </c>
      <c r="K20" s="37"/>
      <c r="L20" s="177">
        <f>+'alcom-BalSht0611'!G25</f>
        <v>0</v>
      </c>
      <c r="M20" s="176"/>
      <c r="N20" s="192">
        <f>+'ANSC-BalSht0611'!G25</f>
        <v>0</v>
      </c>
      <c r="O20" s="27">
        <f>-L20</f>
        <v>0</v>
      </c>
      <c r="P20" s="107">
        <f t="shared" si="0"/>
        <v>0</v>
      </c>
      <c r="Q20" s="56">
        <f t="shared" si="1"/>
        <v>0</v>
      </c>
    </row>
    <row r="21" spans="1:18">
      <c r="A21" s="72"/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37" t="s">
        <v>210</v>
      </c>
      <c r="K21" s="37"/>
      <c r="L21" s="177">
        <f>+'alcom-BalSht0611'!G26</f>
        <v>23295789.209999997</v>
      </c>
      <c r="M21" s="113"/>
      <c r="N21" s="192">
        <f>+'ANSC-BalSht0611'!G26</f>
        <v>0</v>
      </c>
      <c r="O21" s="27">
        <f>-L21</f>
        <v>-23295789.209999997</v>
      </c>
      <c r="P21" s="107">
        <f t="shared" si="0"/>
        <v>0</v>
      </c>
      <c r="Q21" s="56">
        <f t="shared" si="1"/>
        <v>0</v>
      </c>
    </row>
    <row r="22" spans="1:18">
      <c r="A22" s="72">
        <v>144488.69</v>
      </c>
      <c r="B22" s="72">
        <v>0</v>
      </c>
      <c r="C22" s="72">
        <v>467418.34</v>
      </c>
      <c r="D22" s="72">
        <v>32816.559999999998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t="s">
        <v>211</v>
      </c>
      <c r="L22" s="177">
        <f>+'alcom-BalSht0611'!G27</f>
        <v>0</v>
      </c>
      <c r="M22" s="176"/>
      <c r="N22" s="192">
        <f>+'ANSC-BalSht0611'!G27</f>
        <v>0</v>
      </c>
      <c r="O22" s="27"/>
      <c r="P22" s="107">
        <f t="shared" si="0"/>
        <v>0</v>
      </c>
      <c r="Q22" s="56">
        <f t="shared" si="1"/>
        <v>0</v>
      </c>
    </row>
    <row r="23" spans="1:18">
      <c r="A23" s="72">
        <v>189950.2</v>
      </c>
      <c r="B23" s="72">
        <v>310.5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252035.96</v>
      </c>
      <c r="J23" t="s">
        <v>212</v>
      </c>
      <c r="L23" s="177">
        <f>+'alcom-BalSht0611'!G28</f>
        <v>252035.96</v>
      </c>
      <c r="M23" s="176"/>
      <c r="N23" s="192">
        <f>+'ANSC-BalSht0611'!G28</f>
        <v>0</v>
      </c>
      <c r="O23" s="27"/>
      <c r="P23" s="107">
        <f t="shared" si="0"/>
        <v>252035.96</v>
      </c>
      <c r="Q23" s="56">
        <f t="shared" si="1"/>
        <v>252035.96</v>
      </c>
      <c r="R23" s="74">
        <f>SUM(Q18:Q23)</f>
        <v>252035.96</v>
      </c>
    </row>
    <row r="24" spans="1:18">
      <c r="A24" s="72"/>
      <c r="B24" s="72"/>
      <c r="C24" s="72"/>
      <c r="D24" s="72"/>
      <c r="E24" s="72"/>
      <c r="F24" s="72"/>
      <c r="G24" s="72">
        <v>3197000</v>
      </c>
      <c r="H24" s="72">
        <v>3442256.71</v>
      </c>
      <c r="I24" s="72">
        <f>-309411.5+I37</f>
        <v>448588.5</v>
      </c>
      <c r="J24" t="s">
        <v>808</v>
      </c>
      <c r="L24" s="177"/>
      <c r="M24" s="176"/>
      <c r="N24" s="192">
        <f>+'ANSC-BalSht0611'!G29</f>
        <v>508588.5</v>
      </c>
      <c r="O24" s="27"/>
      <c r="P24" s="107">
        <f t="shared" si="0"/>
        <v>508588.5</v>
      </c>
      <c r="Q24" s="56"/>
    </row>
    <row r="25" spans="1:18">
      <c r="A25" s="72">
        <v>38846855.380000003</v>
      </c>
      <c r="B25" s="72">
        <v>44334236.069999993</v>
      </c>
      <c r="C25" s="72">
        <v>45540975.420000002</v>
      </c>
      <c r="D25" s="72">
        <v>71518906.659999996</v>
      </c>
      <c r="E25" s="72">
        <v>31223312.560000002</v>
      </c>
      <c r="F25" s="72">
        <v>47400979.870000012</v>
      </c>
      <c r="G25" s="72">
        <v>60614412.909999996</v>
      </c>
      <c r="H25" s="72">
        <v>42567849.669999994</v>
      </c>
      <c r="I25" s="72">
        <v>51365029.189999998</v>
      </c>
      <c r="J25" t="s">
        <v>213</v>
      </c>
      <c r="L25" s="177">
        <f>+'alcom-BalSht0611'!G30</f>
        <v>17943949.739999998</v>
      </c>
      <c r="M25" s="176"/>
      <c r="N25" s="192">
        <f>+'ANSC-BalSht0611'!G30</f>
        <v>27132986.48</v>
      </c>
      <c r="O25" s="27"/>
      <c r="P25" s="107">
        <f t="shared" si="0"/>
        <v>45076936.219999999</v>
      </c>
      <c r="Q25" s="56">
        <f t="shared" si="1"/>
        <v>-15537476.689999998</v>
      </c>
    </row>
    <row r="26" spans="1:18">
      <c r="A26" s="72"/>
      <c r="B26" s="72"/>
      <c r="C26" s="72"/>
      <c r="D26" s="72"/>
      <c r="E26" s="72"/>
      <c r="F26" s="72"/>
      <c r="G26" s="72"/>
      <c r="H26" s="72"/>
      <c r="I26" s="72"/>
      <c r="L26" s="176"/>
      <c r="M26" s="176"/>
      <c r="N26" s="113"/>
      <c r="O26" s="27"/>
      <c r="P26" s="107"/>
    </row>
    <row r="27" spans="1:18">
      <c r="A27" s="80">
        <f t="shared" ref="A27:I27" si="2">SUM(A15:A25)</f>
        <v>109703901.02000001</v>
      </c>
      <c r="B27" s="80">
        <f t="shared" si="2"/>
        <v>116644993.06</v>
      </c>
      <c r="C27" s="80">
        <f t="shared" si="2"/>
        <v>156763683.35000002</v>
      </c>
      <c r="D27" s="80">
        <f t="shared" si="2"/>
        <v>156539755.12</v>
      </c>
      <c r="E27" s="80">
        <f t="shared" si="2"/>
        <v>140241628.48000002</v>
      </c>
      <c r="F27" s="80">
        <f t="shared" si="2"/>
        <v>164943320.93000001</v>
      </c>
      <c r="G27" s="80">
        <f t="shared" si="2"/>
        <v>131257790.32000001</v>
      </c>
      <c r="H27" s="80">
        <f t="shared" si="2"/>
        <v>139648931.38</v>
      </c>
      <c r="I27" s="80">
        <f t="shared" si="2"/>
        <v>139251228.5</v>
      </c>
      <c r="L27" s="178">
        <f>SUM(L15:L25)</f>
        <v>109141762.84999999</v>
      </c>
      <c r="M27" s="178"/>
      <c r="N27" s="178">
        <f>SUM(N15:N25)</f>
        <v>52779396.769999996</v>
      </c>
      <c r="O27" s="178"/>
      <c r="P27" s="179">
        <f>SUM(P15:P25)</f>
        <v>136819904.09</v>
      </c>
      <c r="Q27" s="56">
        <f>-G27+P27</f>
        <v>5562113.7699999958</v>
      </c>
    </row>
    <row r="28" spans="1:18">
      <c r="A28" s="72"/>
      <c r="B28" s="72"/>
      <c r="C28" s="72"/>
      <c r="D28" s="72"/>
      <c r="E28" s="72"/>
      <c r="F28" s="72"/>
      <c r="G28" s="72"/>
      <c r="H28" s="72"/>
      <c r="I28" s="72"/>
      <c r="L28" s="176"/>
      <c r="M28" s="176"/>
      <c r="N28" s="113"/>
      <c r="O28" s="27"/>
      <c r="P28" s="27"/>
    </row>
    <row r="29" spans="1:18">
      <c r="A29" s="72"/>
      <c r="B29" s="72"/>
      <c r="C29" s="72"/>
      <c r="D29" s="72"/>
      <c r="E29" s="72"/>
      <c r="F29" s="72"/>
      <c r="G29" s="72"/>
      <c r="H29" s="72"/>
      <c r="I29" s="72"/>
      <c r="J29" t="s">
        <v>214</v>
      </c>
      <c r="L29" s="176"/>
      <c r="M29" s="176"/>
      <c r="N29" s="113"/>
      <c r="O29" s="27"/>
      <c r="P29" s="107"/>
    </row>
    <row r="30" spans="1:18">
      <c r="A30" s="72">
        <v>8118041.7999999998</v>
      </c>
      <c r="B30" s="72">
        <v>22936091.469999999</v>
      </c>
      <c r="C30" s="72">
        <v>23841371.020000003</v>
      </c>
      <c r="D30" s="72">
        <v>14716276.560000008</v>
      </c>
      <c r="E30" s="72">
        <v>12632134.935000001</v>
      </c>
      <c r="F30" s="72">
        <v>30524282.040000003</v>
      </c>
      <c r="G30" s="72">
        <v>8241546.4900000012</v>
      </c>
      <c r="H30" s="72">
        <v>14274656.640000001</v>
      </c>
      <c r="I30" s="72">
        <v>15983917.800000001</v>
      </c>
      <c r="J30" t="s">
        <v>215</v>
      </c>
      <c r="L30" s="177">
        <f>+'alcom-BalSht0611'!G35</f>
        <v>13737871.599999998</v>
      </c>
      <c r="M30" s="176"/>
      <c r="N30" s="122">
        <f>+'ANSC-BalSht0611'!G35</f>
        <v>3532295.3800000004</v>
      </c>
      <c r="O30" s="27"/>
      <c r="P30" s="107">
        <f t="shared" ref="P30:P38" si="3">+L30+N30-O30</f>
        <v>17270166.979999997</v>
      </c>
      <c r="Q30" s="56">
        <f t="shared" ref="Q30:Q37" si="4">-G30+P30</f>
        <v>9028620.4899999946</v>
      </c>
      <c r="R30" s="74">
        <f>Q30+Q31</f>
        <v>5856630.3399999943</v>
      </c>
    </row>
    <row r="31" spans="1:18">
      <c r="A31" s="72">
        <v>20298452.949999999</v>
      </c>
      <c r="B31" s="72">
        <v>10389758.18</v>
      </c>
      <c r="C31" s="72">
        <v>4898438.3899999997</v>
      </c>
      <c r="D31" s="72">
        <v>4779214.82</v>
      </c>
      <c r="E31" s="72">
        <v>3348810.415</v>
      </c>
      <c r="F31" s="72">
        <v>3368501.24</v>
      </c>
      <c r="G31" s="72">
        <v>3171990.15</v>
      </c>
      <c r="H31" s="72">
        <v>3231575.1000000006</v>
      </c>
      <c r="I31" s="72">
        <v>6389719.4500000002</v>
      </c>
      <c r="J31" t="s">
        <v>216</v>
      </c>
      <c r="L31" s="177">
        <f>+'alcom-BalSht0611'!G36</f>
        <v>0</v>
      </c>
      <c r="M31" s="176"/>
      <c r="N31" s="122">
        <f>+'ANSC-BalSht0611'!G36</f>
        <v>0</v>
      </c>
      <c r="O31" s="27"/>
      <c r="P31" s="107">
        <f t="shared" si="3"/>
        <v>0</v>
      </c>
      <c r="Q31" s="56">
        <f t="shared" si="4"/>
        <v>-3171990.15</v>
      </c>
    </row>
    <row r="32" spans="1:18">
      <c r="A32" s="72"/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37" t="s">
        <v>313</v>
      </c>
      <c r="K32" s="37"/>
      <c r="L32" s="177">
        <f>+'alcom-BalSht0611'!G37</f>
        <v>0</v>
      </c>
      <c r="M32" s="176"/>
      <c r="N32" s="122">
        <f>+'ANSC-BalSht0611'!G37</f>
        <v>23295789.209999997</v>
      </c>
      <c r="O32" s="27">
        <f>N32</f>
        <v>23295789.209999997</v>
      </c>
      <c r="P32" s="107">
        <f t="shared" si="3"/>
        <v>0</v>
      </c>
      <c r="Q32" s="56">
        <f t="shared" si="4"/>
        <v>0</v>
      </c>
    </row>
    <row r="33" spans="1:18">
      <c r="A33" s="72"/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37" t="s">
        <v>218</v>
      </c>
      <c r="K33" s="37"/>
      <c r="L33" s="177">
        <f>+'alcom-BalSht0611'!G38</f>
        <v>0</v>
      </c>
      <c r="M33" s="176"/>
      <c r="N33" s="192">
        <f>+'ANSC-BalSht0611'!G38</f>
        <v>0</v>
      </c>
      <c r="O33" s="27"/>
      <c r="P33" s="107">
        <f t="shared" si="3"/>
        <v>0</v>
      </c>
      <c r="Q33" s="56">
        <f t="shared" si="4"/>
        <v>0</v>
      </c>
    </row>
    <row r="34" spans="1:18">
      <c r="A34" s="72"/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37" t="s">
        <v>219</v>
      </c>
      <c r="K34" s="37"/>
      <c r="L34" s="177">
        <f>+'alcom-BalSht0611'!G39</f>
        <v>0</v>
      </c>
      <c r="M34" s="176"/>
      <c r="N34" s="192">
        <f>+'ANSC-BalSht0611'!G39</f>
        <v>0</v>
      </c>
      <c r="O34" s="27">
        <f>L34</f>
        <v>0</v>
      </c>
      <c r="P34" s="107">
        <f t="shared" si="3"/>
        <v>0</v>
      </c>
      <c r="Q34" s="56">
        <f t="shared" si="4"/>
        <v>0</v>
      </c>
    </row>
    <row r="35" spans="1:18">
      <c r="A35" s="72"/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37" t="s">
        <v>220</v>
      </c>
      <c r="K35" s="37"/>
      <c r="L35" s="177">
        <f>+'alcom-BalSht0611'!G40</f>
        <v>1161711.3799999999</v>
      </c>
      <c r="M35" s="176"/>
      <c r="N35" s="192">
        <f>+'ANSC-BalSht0611'!G40</f>
        <v>0</v>
      </c>
      <c r="O35" s="27">
        <f>L35</f>
        <v>1161711.3799999999</v>
      </c>
      <c r="P35" s="107">
        <f t="shared" si="3"/>
        <v>0</v>
      </c>
      <c r="Q35" s="56">
        <f t="shared" si="4"/>
        <v>0</v>
      </c>
    </row>
    <row r="36" spans="1:18">
      <c r="A36" s="72">
        <v>9688164.9499999993</v>
      </c>
      <c r="B36" s="72">
        <v>268689.03999999998</v>
      </c>
      <c r="C36" s="72">
        <v>1279601.04</v>
      </c>
      <c r="D36" s="72">
        <v>1982154.68</v>
      </c>
      <c r="E36" s="72">
        <v>3950300.08</v>
      </c>
      <c r="F36" s="72">
        <v>10277.09</v>
      </c>
      <c r="G36" s="72">
        <v>26434.36</v>
      </c>
      <c r="H36" s="72">
        <v>224578.38</v>
      </c>
      <c r="I36" s="72">
        <v>14604.61</v>
      </c>
      <c r="J36" t="s">
        <v>221</v>
      </c>
      <c r="L36" s="177">
        <f>+'alcom-BalSht0611'!G41</f>
        <v>10652.18</v>
      </c>
      <c r="M36" s="176"/>
      <c r="N36" s="192">
        <f>+'ANSC-BalSht0611'!G41</f>
        <v>0</v>
      </c>
      <c r="O36" s="27"/>
      <c r="P36" s="107">
        <f t="shared" si="3"/>
        <v>10652.18</v>
      </c>
      <c r="Q36" s="56">
        <f t="shared" si="4"/>
        <v>-15782.18</v>
      </c>
      <c r="R36" s="74">
        <f>SUM(Q32:Q36)</f>
        <v>-15782.18</v>
      </c>
    </row>
    <row r="37" spans="1:18">
      <c r="A37" s="72">
        <v>5000</v>
      </c>
      <c r="B37" s="72">
        <v>132394.71</v>
      </c>
      <c r="C37" s="72">
        <v>1159669.96</v>
      </c>
      <c r="D37" s="72">
        <v>218000</v>
      </c>
      <c r="E37" s="72">
        <v>45000</v>
      </c>
      <c r="F37" s="72">
        <v>538000</v>
      </c>
      <c r="G37" s="72">
        <v>0</v>
      </c>
      <c r="H37" s="72">
        <v>0</v>
      </c>
      <c r="I37" s="72">
        <v>758000</v>
      </c>
      <c r="J37" t="s">
        <v>222</v>
      </c>
      <c r="L37" s="177">
        <f>+'alcom-BalSht0611'!G42</f>
        <v>1301000</v>
      </c>
      <c r="M37" s="176"/>
      <c r="N37" s="192">
        <f>+'ANSC-BalSht0611'!G42</f>
        <v>0</v>
      </c>
      <c r="O37" s="27"/>
      <c r="P37" s="107">
        <f t="shared" si="3"/>
        <v>1301000</v>
      </c>
      <c r="Q37" s="56">
        <f t="shared" si="4"/>
        <v>1301000</v>
      </c>
    </row>
    <row r="38" spans="1:18">
      <c r="A38" s="72"/>
      <c r="B38" s="72"/>
      <c r="C38" s="72"/>
      <c r="D38" s="72"/>
      <c r="E38" s="72"/>
      <c r="F38" s="72"/>
      <c r="G38" s="72"/>
      <c r="H38" s="72"/>
      <c r="I38" s="72"/>
      <c r="J38" s="440" t="s">
        <v>806</v>
      </c>
      <c r="L38" s="177">
        <f>+'alcom-BalSht0611'!G43</f>
        <v>0</v>
      </c>
      <c r="M38" s="176"/>
      <c r="N38" s="113"/>
      <c r="O38" s="27"/>
      <c r="P38" s="107">
        <f t="shared" si="3"/>
        <v>0</v>
      </c>
    </row>
    <row r="39" spans="1:18">
      <c r="A39" s="80">
        <f t="shared" ref="A39:G39" si="5">SUM(A30:A37)</f>
        <v>38109659.700000003</v>
      </c>
      <c r="B39" s="80">
        <f t="shared" si="5"/>
        <v>33726933.399999999</v>
      </c>
      <c r="C39" s="80">
        <f t="shared" si="5"/>
        <v>31179080.410000004</v>
      </c>
      <c r="D39" s="80">
        <f t="shared" si="5"/>
        <v>21695646.06000001</v>
      </c>
      <c r="E39" s="80">
        <f t="shared" si="5"/>
        <v>19976245.43</v>
      </c>
      <c r="F39" s="80">
        <f>SUM(F30:F37)</f>
        <v>34441060.370000005</v>
      </c>
      <c r="G39" s="80">
        <f t="shared" si="5"/>
        <v>11439971</v>
      </c>
      <c r="H39" s="80">
        <f>SUM(H30:H37)</f>
        <v>17730810.120000001</v>
      </c>
      <c r="I39" s="80">
        <f>SUM(I30:I37)</f>
        <v>23146241.859999999</v>
      </c>
      <c r="L39" s="178">
        <f>SUM(L30:L38)</f>
        <v>16211235.159999996</v>
      </c>
      <c r="M39" s="178"/>
      <c r="N39" s="178">
        <f>SUM(N30:N38)</f>
        <v>26828084.589999996</v>
      </c>
      <c r="O39" s="178"/>
      <c r="P39" s="179">
        <f>SUM(P30:P38)</f>
        <v>18581819.159999996</v>
      </c>
      <c r="Q39" s="56">
        <f>-G39+P39</f>
        <v>7141848.1599999964</v>
      </c>
    </row>
    <row r="40" spans="1:18">
      <c r="A40" s="72"/>
      <c r="B40" s="72"/>
      <c r="C40" s="72"/>
      <c r="D40" s="72"/>
      <c r="E40" s="72"/>
      <c r="F40" s="72"/>
      <c r="G40" s="72"/>
      <c r="H40" s="72"/>
      <c r="I40" s="72"/>
      <c r="L40" s="176"/>
      <c r="M40" s="176"/>
      <c r="N40" s="176"/>
      <c r="O40" s="27"/>
      <c r="P40" s="72"/>
      <c r="Q40" s="56"/>
    </row>
    <row r="41" spans="1:18">
      <c r="A41" s="72">
        <f t="shared" ref="A41:G41" si="6">A27-A39</f>
        <v>71594241.320000008</v>
      </c>
      <c r="B41" s="72">
        <f t="shared" si="6"/>
        <v>82918059.659999996</v>
      </c>
      <c r="C41" s="72">
        <f t="shared" si="6"/>
        <v>125584602.94000003</v>
      </c>
      <c r="D41" s="72">
        <f t="shared" si="6"/>
        <v>134844109.06</v>
      </c>
      <c r="E41" s="72">
        <f t="shared" si="6"/>
        <v>120265383.05000001</v>
      </c>
      <c r="F41" s="72">
        <f>F27-F39</f>
        <v>130502260.56</v>
      </c>
      <c r="G41" s="72">
        <f t="shared" si="6"/>
        <v>119817819.32000001</v>
      </c>
      <c r="H41" s="72">
        <f>H27-H39</f>
        <v>121918121.25999999</v>
      </c>
      <c r="I41" s="72">
        <f>I27-I39</f>
        <v>116104986.64</v>
      </c>
      <c r="J41" t="s">
        <v>223</v>
      </c>
      <c r="L41" s="176">
        <f>L27-L39</f>
        <v>92930527.689999998</v>
      </c>
      <c r="M41" s="176"/>
      <c r="N41" s="176">
        <f>N27-N39</f>
        <v>25951312.18</v>
      </c>
      <c r="O41" s="176">
        <f>O27-O39</f>
        <v>0</v>
      </c>
      <c r="P41" s="72">
        <f>P27-P39</f>
        <v>118238084.93000001</v>
      </c>
      <c r="Q41" s="56">
        <f>-G41+P41</f>
        <v>-1579734.3900000006</v>
      </c>
    </row>
    <row r="42" spans="1:18" ht="13.5" thickBot="1">
      <c r="A42" s="87">
        <f t="shared" ref="A42:H42" si="7">SUM(A7:A12)+A41</f>
        <v>242728113.56</v>
      </c>
      <c r="B42" s="87">
        <f t="shared" si="7"/>
        <v>227884327.09</v>
      </c>
      <c r="C42" s="87">
        <f t="shared" si="7"/>
        <v>243763922.66000003</v>
      </c>
      <c r="D42" s="87">
        <f t="shared" si="7"/>
        <v>247950160.67000002</v>
      </c>
      <c r="E42" s="87">
        <f t="shared" si="7"/>
        <v>225598371.49000001</v>
      </c>
      <c r="F42" s="87">
        <f t="shared" si="7"/>
        <v>228895540.07999998</v>
      </c>
      <c r="G42" s="87">
        <f t="shared" si="7"/>
        <v>212205700.83999997</v>
      </c>
      <c r="H42" s="87">
        <f t="shared" si="7"/>
        <v>208395360.81999999</v>
      </c>
      <c r="I42" s="87">
        <f>SUM(I7:I12)+I41</f>
        <v>206683085.01999998</v>
      </c>
      <c r="L42" s="180">
        <f>SUM(L7:L12)+L41</f>
        <v>199815710.60999998</v>
      </c>
      <c r="M42" s="180"/>
      <c r="N42" s="180">
        <f>SUM(N7:N12)+N41</f>
        <v>37153155.719999999</v>
      </c>
      <c r="O42" s="180">
        <f>SUM(O6:O40)</f>
        <v>-27503554.940000005</v>
      </c>
      <c r="P42" s="87">
        <f>SUM(P7:P12)+P41</f>
        <v>209465311.38999999</v>
      </c>
      <c r="Q42" s="56">
        <f>-G42+P42</f>
        <v>-2740389.4499999881</v>
      </c>
    </row>
    <row r="43" spans="1:18" ht="13.5" thickTop="1">
      <c r="A43" s="72"/>
      <c r="B43" s="72"/>
      <c r="C43" s="72"/>
      <c r="D43" s="72"/>
      <c r="E43" s="72"/>
      <c r="F43" s="72"/>
      <c r="G43" s="72"/>
      <c r="H43" s="72"/>
      <c r="I43" s="72"/>
      <c r="L43" s="176"/>
      <c r="M43" s="176"/>
      <c r="N43" s="113"/>
      <c r="O43" s="113"/>
      <c r="P43" s="113"/>
    </row>
    <row r="44" spans="1:18">
      <c r="A44" s="72"/>
      <c r="B44" s="72"/>
      <c r="C44" s="72"/>
      <c r="D44" s="72"/>
      <c r="E44" s="72"/>
      <c r="F44" s="72"/>
      <c r="G44" s="72"/>
      <c r="H44" s="72"/>
      <c r="I44" s="72"/>
      <c r="J44" t="s">
        <v>224</v>
      </c>
      <c r="L44" s="176"/>
      <c r="M44" s="176"/>
      <c r="N44" s="113"/>
      <c r="O44" s="113"/>
      <c r="P44" s="102"/>
    </row>
    <row r="45" spans="1:18">
      <c r="A45" s="72"/>
      <c r="B45" s="72"/>
      <c r="C45" s="72"/>
      <c r="D45" s="72"/>
      <c r="E45" s="72"/>
      <c r="F45" s="72"/>
      <c r="G45" s="72"/>
      <c r="H45" s="72"/>
      <c r="I45" s="72"/>
      <c r="L45" s="176"/>
      <c r="M45" s="176"/>
      <c r="N45" s="113"/>
      <c r="O45" s="113"/>
      <c r="P45" s="102"/>
    </row>
    <row r="46" spans="1:18">
      <c r="A46" s="72">
        <v>132292848</v>
      </c>
      <c r="B46" s="72">
        <v>132462848</v>
      </c>
      <c r="C46" s="72">
        <v>133480848</v>
      </c>
      <c r="D46" s="72">
        <v>134064848</v>
      </c>
      <c r="E46" s="72">
        <v>134328848</v>
      </c>
      <c r="F46" s="72">
        <v>134330848</v>
      </c>
      <c r="G46" s="72">
        <v>134330848</v>
      </c>
      <c r="H46" s="72">
        <v>134330848</v>
      </c>
      <c r="I46" s="72">
        <v>134330848</v>
      </c>
      <c r="J46" t="s">
        <v>225</v>
      </c>
      <c r="L46" s="177">
        <f>+'alcom-BalSht0611'!G51</f>
        <v>134330848</v>
      </c>
      <c r="M46" s="176"/>
      <c r="N46" s="192">
        <f>+'ANSC-BalSht0611'!G51:G51</f>
        <v>12250000</v>
      </c>
      <c r="O46" s="113">
        <v>12250000</v>
      </c>
      <c r="P46" s="102">
        <f>+L46+N46-O46</f>
        <v>134330848</v>
      </c>
      <c r="Q46" s="56">
        <f>-G46+P46</f>
        <v>0</v>
      </c>
    </row>
    <row r="47" spans="1:18">
      <c r="A47" s="72"/>
      <c r="B47" s="72"/>
      <c r="C47" s="72"/>
      <c r="D47" s="72"/>
      <c r="E47" s="72"/>
      <c r="F47" s="72"/>
      <c r="G47" s="72"/>
      <c r="H47" s="72"/>
      <c r="I47" s="72"/>
      <c r="L47" s="176"/>
      <c r="M47" s="176"/>
      <c r="N47" s="113"/>
      <c r="O47" s="113"/>
      <c r="P47" s="102"/>
      <c r="Q47" s="56"/>
    </row>
    <row r="48" spans="1:18">
      <c r="A48" s="72">
        <v>3970425.2</v>
      </c>
      <c r="B48" s="72">
        <v>3982325.2</v>
      </c>
      <c r="C48" s="72">
        <v>4053585.2</v>
      </c>
      <c r="D48" s="72">
        <v>4094465.2</v>
      </c>
      <c r="E48" s="72">
        <v>4112945.2</v>
      </c>
      <c r="F48" s="72">
        <v>4113085.2</v>
      </c>
      <c r="G48" s="72">
        <v>4113085.2</v>
      </c>
      <c r="H48" s="72">
        <v>4113085.2</v>
      </c>
      <c r="I48" s="72">
        <v>4113085.2</v>
      </c>
      <c r="J48" t="s">
        <v>226</v>
      </c>
      <c r="L48" s="177">
        <f>+'alcom-BalSht0611'!G53</f>
        <v>4113085.2</v>
      </c>
      <c r="M48" s="176"/>
      <c r="N48" s="192">
        <f>+'ANSC-BalSht0611'!G53:G53</f>
        <v>362500</v>
      </c>
      <c r="O48" s="113">
        <v>362500</v>
      </c>
      <c r="P48" s="102">
        <f>+L48+N48-O48</f>
        <v>4113085.2</v>
      </c>
      <c r="Q48" s="56">
        <f>-G48+P48</f>
        <v>0</v>
      </c>
    </row>
    <row r="49" spans="1:18">
      <c r="A49" s="72"/>
      <c r="B49" s="72"/>
      <c r="C49" s="72"/>
      <c r="D49" s="72"/>
      <c r="E49" s="72"/>
      <c r="F49" s="72"/>
      <c r="G49" s="72"/>
      <c r="H49" s="72"/>
      <c r="I49" s="72"/>
      <c r="L49" s="176"/>
      <c r="M49" s="176"/>
      <c r="N49" s="113"/>
      <c r="O49" s="113"/>
      <c r="P49" s="102"/>
      <c r="Q49" s="56"/>
    </row>
    <row r="50" spans="1:18">
      <c r="A50" s="72">
        <v>35104662</v>
      </c>
      <c r="B50" s="72">
        <v>31520718</v>
      </c>
      <c r="C50" s="72">
        <v>8509956.7599999979</v>
      </c>
      <c r="D50" s="72">
        <v>8509957</v>
      </c>
      <c r="E50" s="72">
        <v>4477578.04</v>
      </c>
      <c r="F50" s="72">
        <v>4467357.04</v>
      </c>
      <c r="G50" s="72">
        <v>4467357.04</v>
      </c>
      <c r="H50" s="72">
        <v>4467357.04</v>
      </c>
      <c r="I50" s="72">
        <v>4467357.04</v>
      </c>
      <c r="J50" t="s">
        <v>227</v>
      </c>
      <c r="L50" s="177">
        <f>+'alcom-BalSht0611'!G55</f>
        <v>8499736</v>
      </c>
      <c r="M50" s="176"/>
      <c r="N50" s="113">
        <v>0</v>
      </c>
      <c r="O50" s="113">
        <f>-10221+4032378.96+10221</f>
        <v>4032378.96</v>
      </c>
      <c r="P50" s="102">
        <f>+L50+N50-O50</f>
        <v>4467357.04</v>
      </c>
      <c r="Q50" s="56">
        <f>-G50+P50</f>
        <v>0</v>
      </c>
      <c r="R50" s="74"/>
    </row>
    <row r="51" spans="1:18">
      <c r="A51" s="72">
        <v>-204867.81</v>
      </c>
      <c r="B51" s="72">
        <v>-284007.59000000003</v>
      </c>
      <c r="C51" s="72">
        <v>-1203401.04</v>
      </c>
      <c r="D51" s="72">
        <v>-1203401.04</v>
      </c>
      <c r="E51" s="72">
        <v>-1204825.6100000001</v>
      </c>
      <c r="F51" s="72">
        <v>-2322023.44</v>
      </c>
      <c r="G51" s="72">
        <v>-2330493.7599999998</v>
      </c>
      <c r="H51" s="72">
        <v>-2330493.7599999998</v>
      </c>
      <c r="I51" s="72">
        <v>-2330493.7599999998</v>
      </c>
      <c r="J51" s="445" t="s">
        <v>812</v>
      </c>
      <c r="L51" s="177">
        <f>+'alcom-BalSht0611'!G61</f>
        <v>-2330493.7599999998</v>
      </c>
      <c r="M51" s="176"/>
      <c r="N51" s="165">
        <v>0</v>
      </c>
      <c r="O51" s="113"/>
      <c r="P51" s="102">
        <f>+L51+N51-O51</f>
        <v>-2330493.7599999998</v>
      </c>
      <c r="Q51" s="56">
        <f>-G51+P51</f>
        <v>0</v>
      </c>
    </row>
    <row r="52" spans="1:18">
      <c r="A52" s="72"/>
      <c r="B52" s="72"/>
      <c r="D52" s="72"/>
      <c r="E52" s="72"/>
      <c r="F52" s="72"/>
      <c r="G52" s="72"/>
      <c r="H52" s="72"/>
      <c r="I52" s="72"/>
      <c r="L52" s="176"/>
      <c r="M52" s="176"/>
      <c r="N52" s="113"/>
      <c r="O52" s="113"/>
      <c r="P52" s="102"/>
      <c r="Q52" s="56"/>
      <c r="R52" s="74"/>
    </row>
    <row r="53" spans="1:18">
      <c r="A53" s="72">
        <v>48916345.079999998</v>
      </c>
      <c r="B53" s="72">
        <v>28056276.960000001</v>
      </c>
      <c r="C53" s="72">
        <v>63230400.920000002</v>
      </c>
      <c r="D53" s="72">
        <v>66231983.109999999</v>
      </c>
      <c r="E53" s="72">
        <v>65807562.5</v>
      </c>
      <c r="F53" s="72">
        <v>71828321.920000002</v>
      </c>
      <c r="G53" s="72">
        <v>57237633.969999999</v>
      </c>
      <c r="H53" s="72">
        <v>53007158.950000003</v>
      </c>
      <c r="I53" s="72">
        <v>51723231.719999999</v>
      </c>
      <c r="J53" t="s">
        <v>228</v>
      </c>
      <c r="L53" s="177">
        <f>+'alcom-BalSht0611'!G57</f>
        <v>40146673.460000001</v>
      </c>
      <c r="M53" s="176"/>
      <c r="N53" s="192">
        <f>+'ANSC-BalSht0611'!G57</f>
        <v>22346944.359999999</v>
      </c>
      <c r="O53" s="113">
        <f>15143648.17-6125000-6125000+6602463.67+0.27-3062500+4761085.79-7350000+7718511.76-10221-307779.42-1030288.2+471502.78+83962.28</f>
        <v>10770386.099999998</v>
      </c>
      <c r="P53" s="102">
        <f>+L53+N53-O53</f>
        <v>51723231.719999999</v>
      </c>
      <c r="Q53" s="56">
        <f>-G53+P53</f>
        <v>-5514402.25</v>
      </c>
      <c r="R53" s="74">
        <f>SUM(Q53:Q54)+Q61</f>
        <v>-5514402.25</v>
      </c>
    </row>
    <row r="54" spans="1:18">
      <c r="A54" s="72">
        <v>-13207234.800000001</v>
      </c>
      <c r="B54" s="72">
        <v>-6600642.4000000004</v>
      </c>
      <c r="D54" s="72"/>
      <c r="E54" s="72"/>
      <c r="F54" s="72"/>
      <c r="G54" s="72"/>
      <c r="H54" s="72"/>
      <c r="I54" s="72"/>
      <c r="J54" t="s">
        <v>229</v>
      </c>
      <c r="L54" s="177">
        <f>+'alcom-BalSht0611'!G58</f>
        <v>0</v>
      </c>
      <c r="M54" s="176"/>
      <c r="N54" s="192"/>
      <c r="O54" s="113"/>
      <c r="P54" s="102">
        <f>+L54</f>
        <v>0</v>
      </c>
      <c r="Q54" s="56">
        <f>-G54+P54</f>
        <v>0</v>
      </c>
    </row>
    <row r="55" spans="1:18">
      <c r="A55" s="72"/>
      <c r="B55" s="72">
        <v>161100</v>
      </c>
      <c r="C55" s="72"/>
      <c r="D55" s="72"/>
      <c r="E55" s="72"/>
      <c r="F55" s="72"/>
      <c r="G55" s="72"/>
      <c r="H55" s="72"/>
      <c r="I55" s="72"/>
      <c r="J55" t="s">
        <v>314</v>
      </c>
      <c r="L55" s="177">
        <f>+'alcom-BalSht0611'!G59</f>
        <v>0</v>
      </c>
      <c r="M55" s="176"/>
      <c r="N55" s="192">
        <v>0</v>
      </c>
      <c r="O55" s="113"/>
      <c r="P55" s="102">
        <f>SUM(L55:O55)</f>
        <v>0</v>
      </c>
      <c r="Q55" s="56">
        <f>-G55+P55</f>
        <v>0</v>
      </c>
    </row>
    <row r="56" spans="1:18">
      <c r="A56" s="72"/>
      <c r="B56" s="72"/>
      <c r="C56" s="72"/>
      <c r="D56" s="72"/>
      <c r="E56" s="72"/>
      <c r="F56" s="72"/>
      <c r="G56" s="72"/>
      <c r="H56" s="72"/>
      <c r="I56" s="72"/>
      <c r="J56" t="s">
        <v>231</v>
      </c>
      <c r="L56" s="177">
        <f>+'alcom-BalSht0611'!G60</f>
        <v>3190338.3900000462</v>
      </c>
      <c r="M56" s="176"/>
      <c r="N56" s="192">
        <f>+'ANSC-BalSht0611'!G60</f>
        <v>-601934.1400000006</v>
      </c>
      <c r="O56" s="572">
        <f>ROUND(+N56*0/12250,2)-555465.06+643754.94</f>
        <v>88289.879999999888</v>
      </c>
      <c r="P56" s="102">
        <f>+L56+N56-O56</f>
        <v>2500114.3700000457</v>
      </c>
      <c r="Q56" s="56"/>
    </row>
    <row r="57" spans="1:18">
      <c r="A57" s="72"/>
      <c r="B57" s="72"/>
      <c r="C57" s="72"/>
      <c r="D57" s="72"/>
      <c r="E57" s="72"/>
      <c r="F57" s="72"/>
      <c r="G57" s="72"/>
      <c r="H57" s="72"/>
      <c r="I57" s="72"/>
      <c r="L57" s="177"/>
      <c r="M57" s="176"/>
      <c r="N57" s="192"/>
      <c r="O57" s="113"/>
      <c r="P57" s="102">
        <f>SUM(L57:O57)</f>
        <v>0</v>
      </c>
      <c r="Q57" s="56"/>
    </row>
    <row r="58" spans="1:18">
      <c r="A58" s="92"/>
      <c r="B58" s="92"/>
      <c r="C58" s="92"/>
      <c r="D58" s="92"/>
      <c r="E58" s="92"/>
      <c r="F58" s="92"/>
      <c r="G58" s="92"/>
      <c r="H58" s="92"/>
      <c r="I58" s="92"/>
      <c r="L58" s="183"/>
      <c r="M58" s="183"/>
      <c r="N58" s="184"/>
      <c r="O58" s="184"/>
      <c r="P58" s="92"/>
    </row>
    <row r="59" spans="1:18">
      <c r="A59" s="96">
        <f t="shared" ref="A59:H59" si="8">SUM(A46:A58)</f>
        <v>206872177.66999996</v>
      </c>
      <c r="B59" s="96">
        <f t="shared" si="8"/>
        <v>189298618.16999999</v>
      </c>
      <c r="C59" s="96">
        <f t="shared" si="8"/>
        <v>208071389.83999997</v>
      </c>
      <c r="D59" s="96">
        <f t="shared" si="8"/>
        <v>211697852.26999998</v>
      </c>
      <c r="E59" s="96">
        <f t="shared" si="8"/>
        <v>207522108.12999997</v>
      </c>
      <c r="F59" s="96">
        <f t="shared" si="8"/>
        <v>212417588.71999997</v>
      </c>
      <c r="G59" s="96">
        <f t="shared" si="8"/>
        <v>197818430.44999999</v>
      </c>
      <c r="H59" s="96">
        <f t="shared" si="8"/>
        <v>193587955.43000001</v>
      </c>
      <c r="I59" s="96">
        <f>SUM(I46:I58)</f>
        <v>192304028.19999999</v>
      </c>
      <c r="J59" t="s">
        <v>232</v>
      </c>
      <c r="L59" s="176">
        <f>SUM(L46:L58)</f>
        <v>187950187.29000005</v>
      </c>
      <c r="M59" s="176"/>
      <c r="N59" s="176">
        <f>SUM(N46:N58)</f>
        <v>34357510.219999999</v>
      </c>
      <c r="O59" s="113"/>
      <c r="P59" s="571">
        <f>SUM(P46:P58)</f>
        <v>194804142.57000002</v>
      </c>
      <c r="Q59" s="56">
        <f>-G59+P59</f>
        <v>-3014287.8799999654</v>
      </c>
    </row>
    <row r="60" spans="1:18">
      <c r="A60" s="72"/>
      <c r="B60" s="72"/>
      <c r="C60" s="72"/>
      <c r="D60" s="72"/>
      <c r="E60" s="72"/>
      <c r="F60" s="72"/>
      <c r="G60" s="72"/>
      <c r="H60" s="72"/>
      <c r="I60" s="72"/>
      <c r="L60" s="176"/>
      <c r="M60" s="176"/>
      <c r="N60" s="113"/>
      <c r="O60" s="113"/>
      <c r="P60" s="102"/>
    </row>
    <row r="61" spans="1:18">
      <c r="A61" s="72">
        <v>16091711</v>
      </c>
      <c r="B61" s="72">
        <v>14272009</v>
      </c>
      <c r="C61" s="72">
        <v>14313351.189999999</v>
      </c>
      <c r="D61" s="72">
        <v>16214921.039999999</v>
      </c>
      <c r="E61" s="72"/>
      <c r="F61" s="72"/>
      <c r="G61" s="72"/>
      <c r="H61" s="72"/>
      <c r="I61" s="72"/>
      <c r="J61" t="s">
        <v>233</v>
      </c>
      <c r="L61" s="176"/>
      <c r="M61" s="176"/>
      <c r="N61" s="113"/>
      <c r="O61" s="185"/>
      <c r="P61" s="102">
        <f>SUM(L61:O61)</f>
        <v>0</v>
      </c>
      <c r="Q61" s="56">
        <f>-G61+P61</f>
        <v>0</v>
      </c>
    </row>
    <row r="62" spans="1:18">
      <c r="A62" s="72"/>
      <c r="B62" s="72"/>
      <c r="C62" s="72"/>
      <c r="D62" s="72"/>
      <c r="E62" s="72"/>
      <c r="F62" s="72"/>
      <c r="G62" s="72"/>
      <c r="H62" s="72"/>
      <c r="I62" s="72"/>
      <c r="L62" s="176"/>
      <c r="M62" s="176"/>
      <c r="N62" s="113"/>
      <c r="O62" s="113"/>
      <c r="P62" s="102"/>
      <c r="Q62" s="56"/>
    </row>
    <row r="63" spans="1:18">
      <c r="A63" s="72">
        <v>3458867.49</v>
      </c>
      <c r="B63" s="72">
        <v>4112888.56</v>
      </c>
      <c r="C63" s="72">
        <v>4478121.2699999996</v>
      </c>
      <c r="D63" s="72">
        <v>4318327</v>
      </c>
      <c r="E63" s="72">
        <v>4552203</v>
      </c>
      <c r="F63" s="72">
        <v>4782891</v>
      </c>
      <c r="G63" s="72">
        <v>5329210.03</v>
      </c>
      <c r="H63" s="72">
        <v>5132345.03</v>
      </c>
      <c r="I63" s="72">
        <v>5706996.46</v>
      </c>
      <c r="J63" t="s">
        <v>234</v>
      </c>
      <c r="L63" s="177">
        <f>+'alcom-BalSht0611'!G67</f>
        <v>5439462.96</v>
      </c>
      <c r="M63" s="176"/>
      <c r="N63" s="192">
        <f>+'ANSC-BalSht0611'!G67</f>
        <v>444645.5</v>
      </c>
      <c r="O63" s="113"/>
      <c r="P63" s="102">
        <f>SUM(L63:O63)</f>
        <v>5884108.46</v>
      </c>
      <c r="Q63" s="56">
        <f>-G63+P63</f>
        <v>554898.4299999997</v>
      </c>
    </row>
    <row r="64" spans="1:18">
      <c r="A64" s="72"/>
      <c r="B64" s="72"/>
      <c r="C64" s="72"/>
      <c r="D64" s="72"/>
      <c r="E64" s="72"/>
      <c r="F64" s="72"/>
      <c r="G64" s="72"/>
      <c r="H64" s="72"/>
      <c r="I64" s="72"/>
      <c r="L64" s="176"/>
      <c r="M64" s="176"/>
      <c r="N64" s="113"/>
      <c r="O64" s="113"/>
      <c r="P64" s="102"/>
      <c r="Q64" s="56"/>
    </row>
    <row r="65" spans="1:17">
      <c r="A65" s="72"/>
      <c r="B65" s="72"/>
      <c r="C65" s="72"/>
      <c r="D65" s="72"/>
      <c r="E65" s="72"/>
      <c r="F65" s="72"/>
      <c r="G65" s="72"/>
      <c r="H65" s="72"/>
      <c r="I65" s="72"/>
      <c r="J65" t="s">
        <v>235</v>
      </c>
      <c r="L65" s="176"/>
      <c r="M65" s="176"/>
      <c r="N65" s="113"/>
      <c r="O65" s="113"/>
      <c r="P65" s="102"/>
      <c r="Q65" s="56">
        <f>-G65+P65</f>
        <v>0</v>
      </c>
    </row>
    <row r="66" spans="1:17">
      <c r="A66" s="72"/>
      <c r="B66" s="72"/>
      <c r="C66" s="72"/>
      <c r="D66" s="72"/>
      <c r="E66" s="72"/>
      <c r="F66" s="72"/>
      <c r="G66" s="72"/>
      <c r="H66" s="72"/>
      <c r="I66" s="72"/>
      <c r="L66" s="176"/>
      <c r="M66" s="176"/>
      <c r="N66" s="113"/>
      <c r="O66" s="113"/>
      <c r="P66" s="102"/>
      <c r="Q66" s="56"/>
    </row>
    <row r="67" spans="1:17">
      <c r="A67" s="72"/>
      <c r="B67" s="72"/>
      <c r="C67" s="72"/>
      <c r="D67" s="72"/>
      <c r="E67" s="72"/>
      <c r="F67" s="72"/>
      <c r="G67" s="72"/>
      <c r="H67" s="72"/>
      <c r="I67" s="72"/>
      <c r="J67" s="98" t="s">
        <v>236</v>
      </c>
      <c r="K67" s="99"/>
      <c r="L67" s="176"/>
      <c r="M67" s="176"/>
      <c r="N67" s="113"/>
      <c r="O67" s="113"/>
      <c r="P67" s="102"/>
      <c r="Q67" s="56">
        <f>-G67+P67</f>
        <v>0</v>
      </c>
    </row>
    <row r="68" spans="1:17">
      <c r="A68" s="72"/>
      <c r="B68" s="72"/>
      <c r="C68" s="72"/>
      <c r="D68" s="72"/>
      <c r="E68" s="72"/>
      <c r="F68" s="72"/>
      <c r="G68" s="72"/>
      <c r="H68" s="72"/>
      <c r="I68" s="72"/>
      <c r="L68" s="176"/>
      <c r="M68" s="176"/>
      <c r="N68" s="113"/>
      <c r="O68" s="113"/>
      <c r="P68" s="102"/>
      <c r="Q68" s="56"/>
    </row>
    <row r="69" spans="1:17">
      <c r="A69" s="72">
        <v>16305357.4</v>
      </c>
      <c r="B69" s="72">
        <v>20200811.359999999</v>
      </c>
      <c r="C69" s="72">
        <v>16901060.359999999</v>
      </c>
      <c r="D69" s="72">
        <v>15719060.359999999</v>
      </c>
      <c r="E69" s="72">
        <v>13524060.359999999</v>
      </c>
      <c r="F69" s="72">
        <v>11695060.359999999</v>
      </c>
      <c r="G69" s="72">
        <v>9058060.3599999994</v>
      </c>
      <c r="H69" s="72">
        <v>9675060.3599999994</v>
      </c>
      <c r="I69" s="72">
        <v>8672060.3599999994</v>
      </c>
      <c r="J69" t="s">
        <v>237</v>
      </c>
      <c r="L69" s="177">
        <f>+'alcom-BalSht0611'!G73</f>
        <v>6426060.3600000003</v>
      </c>
      <c r="M69" s="176"/>
      <c r="N69" s="192">
        <f>+'ANSC-BalSht0611'!G73</f>
        <v>2351000</v>
      </c>
      <c r="O69" s="113"/>
      <c r="P69" s="102">
        <f>SUM(L69:O69)</f>
        <v>8777060.3599999994</v>
      </c>
      <c r="Q69" s="56">
        <f>-G69+P69</f>
        <v>-281000</v>
      </c>
    </row>
    <row r="70" spans="1:17">
      <c r="A70" s="72"/>
      <c r="B70" s="72"/>
      <c r="C70" s="72"/>
      <c r="D70" s="72"/>
      <c r="E70" s="72"/>
      <c r="F70" s="72"/>
      <c r="G70" s="72"/>
      <c r="H70" s="72"/>
      <c r="I70" s="72"/>
      <c r="L70" s="176"/>
      <c r="M70" s="176"/>
      <c r="N70" s="113"/>
      <c r="O70" s="113"/>
      <c r="P70" s="102"/>
    </row>
    <row r="71" spans="1:17">
      <c r="A71" s="72"/>
      <c r="B71" s="72"/>
      <c r="C71" s="72"/>
      <c r="D71" s="72"/>
      <c r="E71" s="72"/>
      <c r="F71" s="72"/>
      <c r="G71" s="72"/>
      <c r="H71" s="72"/>
      <c r="I71" s="72"/>
      <c r="L71" s="176"/>
      <c r="M71" s="176"/>
      <c r="N71" s="113"/>
      <c r="O71" s="113"/>
      <c r="P71" s="72"/>
    </row>
    <row r="72" spans="1:17" ht="13.5" thickBot="1">
      <c r="A72" s="87">
        <f t="shared" ref="A72:G72" si="9">SUM(A59:A71)</f>
        <v>242728113.55999997</v>
      </c>
      <c r="B72" s="87">
        <f t="shared" si="9"/>
        <v>227884327.08999997</v>
      </c>
      <c r="C72" s="87">
        <f t="shared" si="9"/>
        <v>243763922.65999997</v>
      </c>
      <c r="D72" s="87">
        <f t="shared" si="9"/>
        <v>247950160.66999996</v>
      </c>
      <c r="E72" s="87">
        <f t="shared" si="9"/>
        <v>225598371.48999995</v>
      </c>
      <c r="F72" s="87">
        <f t="shared" si="9"/>
        <v>228895540.07999998</v>
      </c>
      <c r="G72" s="87">
        <f t="shared" si="9"/>
        <v>212205700.83999997</v>
      </c>
      <c r="H72" s="87">
        <f>SUM(H59:H71)</f>
        <v>208395360.81999999</v>
      </c>
      <c r="I72" s="87">
        <f>SUM(I59:I71)</f>
        <v>206683085.01999998</v>
      </c>
      <c r="L72" s="186">
        <f>SUM(L59:L71)</f>
        <v>199815710.61000007</v>
      </c>
      <c r="M72" s="186"/>
      <c r="N72" s="186">
        <f>SUM(N59:N71)</f>
        <v>37153155.719999999</v>
      </c>
      <c r="O72" s="186">
        <f>SUM(O46:O71)</f>
        <v>27503554.939999998</v>
      </c>
      <c r="P72" s="181">
        <f>SUM(P59:P71)</f>
        <v>209465311.39000005</v>
      </c>
      <c r="Q72" s="56">
        <f>-G72+P72</f>
        <v>-2740389.4499999285</v>
      </c>
    </row>
    <row r="73" spans="1:17" ht="13.5" thickTop="1">
      <c r="A73" s="72"/>
      <c r="B73" s="72"/>
      <c r="C73" s="72"/>
      <c r="D73" s="72"/>
      <c r="E73" s="72"/>
      <c r="F73" s="72"/>
      <c r="G73" s="72"/>
      <c r="H73" s="72"/>
      <c r="I73" s="72"/>
      <c r="L73" s="176"/>
      <c r="M73" s="176"/>
      <c r="N73" s="176"/>
      <c r="O73" s="113"/>
      <c r="P73" s="102"/>
    </row>
    <row r="74" spans="1:17">
      <c r="A74" s="53">
        <f t="shared" ref="A74:H74" si="10">+A72-A42</f>
        <v>0</v>
      </c>
      <c r="B74" s="53">
        <f t="shared" si="10"/>
        <v>0</v>
      </c>
      <c r="C74" s="53">
        <f t="shared" si="10"/>
        <v>0</v>
      </c>
      <c r="D74" s="53">
        <f t="shared" si="10"/>
        <v>0</v>
      </c>
      <c r="E74" s="53">
        <f t="shared" si="10"/>
        <v>0</v>
      </c>
      <c r="F74" s="53">
        <f t="shared" si="10"/>
        <v>0</v>
      </c>
      <c r="G74" s="53">
        <f t="shared" si="10"/>
        <v>0</v>
      </c>
      <c r="H74" s="53">
        <f t="shared" si="10"/>
        <v>0</v>
      </c>
      <c r="I74" s="53">
        <f>+I72-I42</f>
        <v>0</v>
      </c>
      <c r="L74" s="113">
        <f>+L72-L42</f>
        <v>0</v>
      </c>
      <c r="M74" s="113"/>
      <c r="N74" s="113">
        <f>+N72-N42</f>
        <v>0</v>
      </c>
      <c r="O74" s="113">
        <f>+O42+O72</f>
        <v>0</v>
      </c>
      <c r="P74" s="102">
        <f>+P72-P42</f>
        <v>0</v>
      </c>
      <c r="Q74" s="83">
        <f>+Q72-Q42</f>
        <v>5.9604644775390625E-8</v>
      </c>
    </row>
    <row r="75" spans="1:17">
      <c r="A75" s="72"/>
      <c r="B75" s="72"/>
      <c r="C75" s="72"/>
      <c r="D75" s="72"/>
      <c r="E75" s="72"/>
      <c r="F75" s="72"/>
      <c r="G75" s="72"/>
      <c r="H75" s="72"/>
      <c r="I75" s="72"/>
      <c r="J75" s="25" t="s">
        <v>238</v>
      </c>
      <c r="O75" s="51"/>
      <c r="P75" s="50"/>
    </row>
    <row r="76" spans="1:17">
      <c r="A76" s="102">
        <f t="shared" ref="A76:G76" si="11">(+A59)/A77</f>
        <v>1.566171156562411</v>
      </c>
      <c r="B76" s="102">
        <f t="shared" si="11"/>
        <v>1.4320966829977819</v>
      </c>
      <c r="C76" s="102">
        <f t="shared" si="11"/>
        <v>1.5711202810905462</v>
      </c>
      <c r="D76" s="102">
        <f t="shared" si="11"/>
        <v>1.5914852455567114</v>
      </c>
      <c r="E76" s="102">
        <f t="shared" si="11"/>
        <v>1.5570147011096345</v>
      </c>
      <c r="F76" s="102">
        <f>(+F59)/F77</f>
        <v>1.6060382637327129</v>
      </c>
      <c r="G76" s="102">
        <f t="shared" si="11"/>
        <v>1.4957706333903174</v>
      </c>
      <c r="H76" s="102">
        <f>(+H59)/H77</f>
        <v>1.4637826114157588</v>
      </c>
      <c r="I76" s="102">
        <f>(+I59)/I77</f>
        <v>1.4540744126312699</v>
      </c>
      <c r="J76" s="25" t="s">
        <v>239</v>
      </c>
      <c r="L76" s="102">
        <f>(+L59)/L77</f>
        <v>1.4211535803265301</v>
      </c>
      <c r="M76" s="102"/>
      <c r="N76" s="102">
        <f>(+N59)/N77</f>
        <v>2.8046947118367345</v>
      </c>
      <c r="O76" s="27"/>
      <c r="P76" s="102">
        <f>(+P59)/P77</f>
        <v>1.4729786049568097</v>
      </c>
    </row>
    <row r="77" spans="1:17" s="37" customFormat="1">
      <c r="A77" s="397">
        <f>A46-205000</f>
        <v>132087848</v>
      </c>
      <c r="B77" s="397">
        <f>B46-280000</f>
        <v>132182848</v>
      </c>
      <c r="C77" s="397">
        <f>C46-1045800</f>
        <v>132435048</v>
      </c>
      <c r="D77" s="397">
        <f>D46-1045800</f>
        <v>133019048</v>
      </c>
      <c r="E77" s="397">
        <f>E46-1046800</f>
        <v>133282048</v>
      </c>
      <c r="F77" s="397">
        <f>F46-2069000</f>
        <v>132261848</v>
      </c>
      <c r="G77" s="397">
        <f>G46-2079000</f>
        <v>132251848</v>
      </c>
      <c r="H77" s="397">
        <f>H46-2079000</f>
        <v>132251848</v>
      </c>
      <c r="I77" s="397">
        <f>I46-2079000</f>
        <v>132251848</v>
      </c>
      <c r="J77" s="37" t="s">
        <v>714</v>
      </c>
      <c r="L77" s="397">
        <f>L46-2079000</f>
        <v>132251848</v>
      </c>
      <c r="M77" s="397"/>
      <c r="N77" s="397">
        <f>N46</f>
        <v>12250000</v>
      </c>
      <c r="P77" s="397">
        <f>+L77</f>
        <v>132251848</v>
      </c>
    </row>
    <row r="78" spans="1:17">
      <c r="L78" s="109"/>
    </row>
    <row r="79" spans="1:17">
      <c r="L79" s="72"/>
    </row>
    <row r="82" spans="1:14" s="34" customFormat="1" ht="11.25">
      <c r="A82" s="187"/>
      <c r="B82" s="112"/>
      <c r="C82" s="112"/>
      <c r="D82" s="112"/>
      <c r="E82" s="112"/>
      <c r="F82" s="112"/>
      <c r="G82" s="112"/>
      <c r="H82" s="112"/>
      <c r="I82" s="112"/>
      <c r="J82" s="188"/>
      <c r="L82" s="112"/>
      <c r="M82" s="119"/>
      <c r="N82" s="189"/>
    </row>
    <row r="83" spans="1:14" s="34" customFormat="1" ht="11.25">
      <c r="A83" s="187"/>
      <c r="B83" s="112"/>
      <c r="C83" s="112"/>
      <c r="D83" s="112"/>
      <c r="E83" s="112"/>
      <c r="F83" s="112"/>
      <c r="G83" s="112"/>
      <c r="H83" s="112"/>
      <c r="I83" s="112"/>
      <c r="J83" s="188"/>
      <c r="L83" s="112"/>
      <c r="M83" s="119"/>
      <c r="N83" s="189"/>
    </row>
    <row r="84" spans="1:14" s="34" customFormat="1" ht="11.25">
      <c r="A84" s="187"/>
      <c r="B84" s="112"/>
      <c r="C84" s="112"/>
      <c r="D84" s="112"/>
      <c r="E84" s="112"/>
      <c r="F84" s="112"/>
      <c r="G84" s="112"/>
      <c r="H84" s="112"/>
      <c r="I84" s="112"/>
      <c r="J84" s="188"/>
      <c r="L84" s="112"/>
      <c r="M84" s="119"/>
      <c r="N84" s="189"/>
    </row>
    <row r="85" spans="1:14" s="34" customFormat="1" ht="11.25">
      <c r="A85" s="187"/>
      <c r="B85" s="112"/>
      <c r="C85" s="112"/>
      <c r="D85" s="112"/>
      <c r="E85" s="112"/>
      <c r="F85" s="112"/>
      <c r="G85" s="112"/>
      <c r="H85" s="112"/>
      <c r="I85" s="112"/>
      <c r="J85" s="188"/>
      <c r="L85" s="112"/>
      <c r="M85" s="119"/>
      <c r="N85" s="189"/>
    </row>
    <row r="86" spans="1:14" s="34" customFormat="1" ht="11.25">
      <c r="A86" s="187"/>
      <c r="B86" s="112"/>
      <c r="C86" s="112"/>
      <c r="D86" s="112"/>
      <c r="E86" s="112"/>
      <c r="F86" s="112"/>
      <c r="G86" s="112"/>
      <c r="H86" s="112"/>
      <c r="I86" s="112"/>
      <c r="J86" s="188"/>
      <c r="L86" s="112"/>
      <c r="M86" s="119"/>
      <c r="N86" s="189"/>
    </row>
    <row r="87" spans="1:14" s="34" customFormat="1" ht="11.25">
      <c r="A87" s="187"/>
      <c r="B87" s="112"/>
      <c r="C87" s="31"/>
      <c r="D87" s="112"/>
      <c r="E87" s="112"/>
      <c r="F87" s="112"/>
      <c r="G87" s="112"/>
      <c r="H87" s="112"/>
      <c r="I87" s="112"/>
      <c r="J87" s="188"/>
      <c r="L87" s="112"/>
      <c r="M87" s="119"/>
      <c r="N87" s="189"/>
    </row>
    <row r="88" spans="1:14" s="34" customFormat="1" ht="11.25">
      <c r="A88" s="187"/>
      <c r="B88" s="112"/>
      <c r="C88" s="31"/>
      <c r="D88" s="112"/>
      <c r="E88" s="112"/>
      <c r="F88" s="112"/>
      <c r="G88" s="112"/>
      <c r="H88" s="112"/>
      <c r="I88" s="112"/>
      <c r="J88" s="188"/>
      <c r="K88" s="112"/>
      <c r="L88" s="112"/>
      <c r="M88" s="119"/>
      <c r="N88" s="189"/>
    </row>
    <row r="89" spans="1:14" s="34" customFormat="1" ht="11.25">
      <c r="A89" s="187"/>
      <c r="B89" s="112"/>
      <c r="C89" s="31"/>
      <c r="D89" s="112"/>
      <c r="E89" s="112"/>
      <c r="F89" s="112"/>
      <c r="G89" s="112"/>
      <c r="H89" s="112"/>
      <c r="I89" s="112"/>
      <c r="J89" s="188"/>
      <c r="K89" s="112"/>
      <c r="L89" s="112"/>
      <c r="M89" s="119"/>
      <c r="N89" s="189"/>
    </row>
    <row r="90" spans="1:14" s="34" customFormat="1" ht="11.25">
      <c r="A90" s="187"/>
      <c r="B90" s="112"/>
      <c r="C90" s="31"/>
      <c r="D90" s="112"/>
      <c r="E90" s="112"/>
      <c r="F90" s="112"/>
      <c r="G90" s="112"/>
      <c r="H90" s="112"/>
      <c r="I90" s="112"/>
      <c r="J90" s="188"/>
      <c r="K90" s="112"/>
      <c r="L90" s="112"/>
      <c r="M90" s="119"/>
      <c r="N90" s="189"/>
    </row>
    <row r="91" spans="1:14" s="34" customFormat="1" ht="11.25">
      <c r="A91" s="187"/>
      <c r="B91" s="112"/>
      <c r="C91" s="31"/>
      <c r="D91" s="112"/>
      <c r="E91" s="112"/>
      <c r="F91" s="112"/>
      <c r="G91" s="112"/>
      <c r="H91" s="112"/>
      <c r="I91" s="112"/>
      <c r="J91" s="188"/>
      <c r="K91" s="112"/>
      <c r="L91" s="112"/>
      <c r="M91" s="119"/>
      <c r="N91" s="189"/>
    </row>
    <row r="92" spans="1:14" s="34" customFormat="1" ht="11.25">
      <c r="A92" s="187"/>
      <c r="B92" s="112"/>
      <c r="C92" s="31"/>
      <c r="D92" s="112"/>
      <c r="E92" s="112"/>
      <c r="F92" s="112"/>
      <c r="G92" s="112"/>
      <c r="H92" s="112"/>
      <c r="I92" s="112"/>
      <c r="J92" s="188"/>
      <c r="K92" s="112"/>
      <c r="L92" s="112"/>
      <c r="M92" s="119"/>
      <c r="N92" s="189"/>
    </row>
    <row r="93" spans="1:14" s="395" customFormat="1" ht="11.25">
      <c r="A93" s="2"/>
      <c r="B93" s="5"/>
      <c r="C93" s="4"/>
      <c r="D93" s="5"/>
      <c r="E93" s="5"/>
      <c r="F93" s="5"/>
      <c r="G93" s="5"/>
      <c r="H93" s="5"/>
      <c r="I93" s="5"/>
      <c r="J93" s="3"/>
      <c r="K93" s="5"/>
      <c r="L93" s="112"/>
      <c r="M93" s="120"/>
      <c r="N93" s="394"/>
    </row>
    <row r="94" spans="1:14" s="34" customFormat="1" ht="11.25">
      <c r="A94" s="187"/>
      <c r="B94" s="112"/>
      <c r="C94" s="112"/>
      <c r="D94" s="112"/>
      <c r="E94" s="112"/>
      <c r="F94" s="112"/>
      <c r="G94" s="112"/>
      <c r="H94" s="112"/>
      <c r="I94" s="112"/>
      <c r="J94" s="190"/>
      <c r="K94" s="112"/>
      <c r="L94" s="112"/>
      <c r="M94" s="119"/>
      <c r="N94" s="189"/>
    </row>
  </sheetData>
  <phoneticPr fontId="0" type="noConversion"/>
  <pageMargins left="0.5" right="0.5" top="0.5" bottom="0.5" header="0.5" footer="0.17"/>
  <pageSetup paperSize="9" scale="44" orientation="portrait" horizontalDpi="1200" verticalDpi="1200" r:id="rId1"/>
  <headerFooter alignWithMargins="0">
    <oddFooter>&amp;L&amp;D&amp;F&amp;A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2" filterMode="1">
    <tabColor rgb="FFFFC000"/>
  </sheetPr>
  <dimension ref="A1:W2403"/>
  <sheetViews>
    <sheetView topLeftCell="E1" workbookViewId="0"/>
  </sheetViews>
  <sheetFormatPr defaultRowHeight="12.75"/>
  <cols>
    <col min="1" max="1" width="13.140625" style="471" bestFit="1" customWidth="1"/>
    <col min="2" max="2" width="28.28515625" style="471" bestFit="1" customWidth="1"/>
    <col min="3" max="3" width="13.140625" style="471" customWidth="1"/>
    <col min="4" max="4" width="5.28515625" style="471" bestFit="1" customWidth="1"/>
    <col min="5" max="5" width="5.42578125" style="470" bestFit="1" customWidth="1"/>
    <col min="6" max="6" width="9.140625" style="470"/>
    <col min="7" max="7" width="11" style="470" bestFit="1" customWidth="1"/>
    <col min="8" max="8" width="32.42578125" style="470" bestFit="1" customWidth="1"/>
    <col min="9" max="9" width="3" style="471" customWidth="1"/>
    <col min="10" max="10" width="0.42578125" style="471" customWidth="1"/>
    <col min="11" max="11" width="17.7109375" style="471" customWidth="1"/>
    <col min="12" max="20" width="15.5703125" style="471" customWidth="1"/>
    <col min="21" max="22" width="15.5703125" style="471" bestFit="1" customWidth="1"/>
    <col min="23" max="16384" width="9.140625" style="471"/>
  </cols>
  <sheetData>
    <row r="1" spans="1:22" s="455" customFormat="1">
      <c r="E1" s="451"/>
      <c r="F1" s="451"/>
      <c r="G1" s="452"/>
      <c r="H1" s="452"/>
      <c r="I1" s="453"/>
      <c r="J1" s="453"/>
      <c r="K1" s="454">
        <v>40663</v>
      </c>
      <c r="L1" s="454">
        <v>40694</v>
      </c>
      <c r="M1" s="454">
        <v>40724</v>
      </c>
      <c r="N1" s="454">
        <v>40755</v>
      </c>
      <c r="O1" s="454">
        <v>40786</v>
      </c>
      <c r="P1" s="454">
        <v>40816</v>
      </c>
      <c r="Q1" s="454">
        <v>40847</v>
      </c>
      <c r="R1" s="454">
        <v>40877</v>
      </c>
      <c r="S1" s="454">
        <v>40908</v>
      </c>
      <c r="T1" s="454">
        <v>40939</v>
      </c>
      <c r="U1" s="454">
        <v>40968</v>
      </c>
      <c r="V1" s="454">
        <v>40999</v>
      </c>
    </row>
    <row r="2" spans="1:22" s="459" customFormat="1" hidden="1">
      <c r="E2" s="456" t="s">
        <v>838</v>
      </c>
      <c r="F2" s="456" t="s">
        <v>622</v>
      </c>
      <c r="G2" s="456" t="s">
        <v>624</v>
      </c>
      <c r="H2" s="456" t="s">
        <v>839</v>
      </c>
      <c r="I2" s="457"/>
      <c r="J2" s="457"/>
      <c r="K2" s="458">
        <v>1</v>
      </c>
      <c r="L2" s="458">
        <v>2</v>
      </c>
      <c r="M2" s="458">
        <v>3</v>
      </c>
      <c r="N2" s="458">
        <v>4</v>
      </c>
      <c r="O2" s="458">
        <v>5</v>
      </c>
      <c r="P2" s="458">
        <v>6</v>
      </c>
      <c r="Q2" s="458">
        <v>7</v>
      </c>
      <c r="R2" s="458">
        <v>8</v>
      </c>
      <c r="S2" s="458">
        <v>9</v>
      </c>
      <c r="T2" s="458">
        <v>10</v>
      </c>
      <c r="U2" s="458">
        <v>11</v>
      </c>
      <c r="V2" s="458">
        <v>12</v>
      </c>
    </row>
    <row r="3" spans="1:22" s="455" customFormat="1" hidden="1">
      <c r="A3" s="455" t="str">
        <f>F3&amp;G3</f>
        <v>10001001200000</v>
      </c>
      <c r="B3" s="455" t="str">
        <f>VLOOKUP(LEFT($C$3:$C$2600,3),Table!$D$2:$E$88,2,FALSE)</f>
        <v>Net fixed assets</v>
      </c>
      <c r="C3" s="455" t="str">
        <f>IF(ISNA(D3),G3,D3)</f>
        <v>1001200000</v>
      </c>
      <c r="D3" s="455" t="e">
        <f>VLOOKUP(G3,Table!$G$3:$H$21,2,FALSE)</f>
        <v>#N/A</v>
      </c>
      <c r="E3" s="460" t="s">
        <v>840</v>
      </c>
      <c r="F3" s="452" t="s">
        <v>582</v>
      </c>
      <c r="G3" s="452" t="s">
        <v>841</v>
      </c>
      <c r="H3" s="452" t="s">
        <v>26</v>
      </c>
      <c r="I3" s="453" t="s">
        <v>842</v>
      </c>
      <c r="J3" s="453">
        <v>13046021</v>
      </c>
      <c r="K3" s="461">
        <v>13046021</v>
      </c>
      <c r="L3" s="461">
        <v>13046021</v>
      </c>
      <c r="M3" s="461">
        <v>13046021</v>
      </c>
      <c r="N3" s="461">
        <v>13046021</v>
      </c>
      <c r="O3" s="461">
        <v>13046021</v>
      </c>
      <c r="P3" s="461">
        <v>13046021</v>
      </c>
      <c r="Q3" s="461">
        <v>13046021</v>
      </c>
      <c r="R3" s="461">
        <v>13046021</v>
      </c>
      <c r="S3" s="461">
        <v>13046021</v>
      </c>
      <c r="T3" s="461">
        <v>13046021</v>
      </c>
      <c r="U3" s="461">
        <v>13046021</v>
      </c>
      <c r="V3" s="461">
        <v>13046021</v>
      </c>
    </row>
    <row r="4" spans="1:22" s="455" customFormat="1" hidden="1">
      <c r="A4" s="455" t="str">
        <f t="shared" ref="A4:A67" si="0">F4&amp;G4</f>
        <v>10001001400000</v>
      </c>
      <c r="B4" s="455" t="str">
        <f>VLOOKUP(LEFT($C$3:$C$2600,3),Table!$D$2:$E$88,2,FALSE)</f>
        <v>Net fixed assets</v>
      </c>
      <c r="C4" s="455" t="str">
        <f t="shared" ref="C4:C67" si="1">IF(ISNA(D4),G4,D4)</f>
        <v>1001400000</v>
      </c>
      <c r="D4" s="455" t="e">
        <f>VLOOKUP(G4,Table!$G$3:$H$21,2,FALSE)</f>
        <v>#N/A</v>
      </c>
      <c r="E4" s="452" t="s">
        <v>840</v>
      </c>
      <c r="F4" s="452" t="s">
        <v>582</v>
      </c>
      <c r="G4" s="452" t="s">
        <v>843</v>
      </c>
      <c r="H4" s="452" t="s">
        <v>30</v>
      </c>
      <c r="I4" s="453" t="s">
        <v>842</v>
      </c>
      <c r="J4" s="453">
        <v>27789748.760000002</v>
      </c>
      <c r="K4" s="461">
        <v>27789748.760000002</v>
      </c>
      <c r="L4" s="461">
        <v>27789748.760000002</v>
      </c>
      <c r="M4" s="461">
        <v>27789748.760000002</v>
      </c>
      <c r="N4" s="461">
        <v>27789748.760000002</v>
      </c>
      <c r="O4" s="461">
        <v>27789748.760000002</v>
      </c>
      <c r="P4" s="461">
        <v>27789748.760000002</v>
      </c>
      <c r="Q4" s="461">
        <v>27789748.760000002</v>
      </c>
      <c r="R4" s="461">
        <v>27789748.760000002</v>
      </c>
      <c r="S4" s="461">
        <v>27789748.760000002</v>
      </c>
      <c r="T4" s="461">
        <v>27789748.760000002</v>
      </c>
      <c r="U4" s="461">
        <v>27789748.760000002</v>
      </c>
      <c r="V4" s="461">
        <v>27789748.760000002</v>
      </c>
    </row>
    <row r="5" spans="1:22" s="455" customFormat="1" hidden="1">
      <c r="A5" s="455" t="str">
        <f t="shared" si="0"/>
        <v>10001001400000</v>
      </c>
      <c r="B5" s="455" t="str">
        <f>VLOOKUP(LEFT($C$3:$C$2600,3),Table!$D$2:$E$88,2,FALSE)</f>
        <v>Net fixed assets</v>
      </c>
      <c r="C5" s="455" t="str">
        <f t="shared" si="1"/>
        <v>1001400000</v>
      </c>
      <c r="D5" s="455" t="e">
        <f>VLOOKUP(G5,Table!$G$3:$H$21,2,FALSE)</f>
        <v>#N/A</v>
      </c>
      <c r="E5" s="452" t="s">
        <v>840</v>
      </c>
      <c r="F5" s="452" t="s">
        <v>582</v>
      </c>
      <c r="G5" s="452" t="s">
        <v>843</v>
      </c>
      <c r="H5" s="452" t="s">
        <v>30</v>
      </c>
      <c r="I5" s="453" t="s">
        <v>844</v>
      </c>
      <c r="J5" s="453">
        <v>0</v>
      </c>
      <c r="K5" s="461">
        <v>0</v>
      </c>
      <c r="L5" s="461">
        <v>0</v>
      </c>
      <c r="M5" s="461">
        <v>0</v>
      </c>
      <c r="N5" s="461">
        <v>0</v>
      </c>
      <c r="O5" s="461">
        <v>0</v>
      </c>
      <c r="P5" s="461">
        <v>0</v>
      </c>
      <c r="Q5" s="461">
        <v>0</v>
      </c>
      <c r="R5" s="461">
        <v>0</v>
      </c>
      <c r="S5" s="461">
        <v>0</v>
      </c>
      <c r="T5" s="461">
        <v>0</v>
      </c>
      <c r="U5" s="461">
        <v>0</v>
      </c>
      <c r="V5" s="461">
        <v>0</v>
      </c>
    </row>
    <row r="6" spans="1:22" s="455" customFormat="1" hidden="1">
      <c r="A6" s="455" t="str">
        <f t="shared" si="0"/>
        <v>10001011000000</v>
      </c>
      <c r="B6" s="455" t="str">
        <f>VLOOKUP(LEFT($C$3:$C$2600,3),Table!$D$2:$E$88,2,FALSE)</f>
        <v>Net fixed assets</v>
      </c>
      <c r="C6" s="455" t="str">
        <f t="shared" si="1"/>
        <v>1011000000</v>
      </c>
      <c r="D6" s="455" t="e">
        <f>VLOOKUP(G6,Table!$G$3:$H$21,2,FALSE)</f>
        <v>#N/A</v>
      </c>
      <c r="E6" s="452" t="s">
        <v>840</v>
      </c>
      <c r="F6" s="452" t="s">
        <v>582</v>
      </c>
      <c r="G6" s="452" t="s">
        <v>845</v>
      </c>
      <c r="H6" s="452" t="s">
        <v>35</v>
      </c>
      <c r="I6" s="453" t="s">
        <v>842</v>
      </c>
      <c r="J6" s="453">
        <v>211600969.66999999</v>
      </c>
      <c r="K6" s="461">
        <v>211600969.66999999</v>
      </c>
      <c r="L6" s="461">
        <v>211600969.66999999</v>
      </c>
      <c r="M6" s="461">
        <v>211600969.66999999</v>
      </c>
      <c r="N6" s="461">
        <v>211600969.66999999</v>
      </c>
      <c r="O6" s="461">
        <v>211600969.66999999</v>
      </c>
      <c r="P6" s="461">
        <v>211600969.66999999</v>
      </c>
      <c r="Q6" s="461">
        <v>211600969.66999999</v>
      </c>
      <c r="R6" s="461">
        <v>211600969.66999999</v>
      </c>
      <c r="S6" s="461">
        <v>211600969.66999999</v>
      </c>
      <c r="T6" s="461">
        <v>211600969.66999999</v>
      </c>
      <c r="U6" s="461">
        <v>211600969.66999999</v>
      </c>
      <c r="V6" s="461">
        <v>211600969.66999999</v>
      </c>
    </row>
    <row r="7" spans="1:22" s="455" customFormat="1" hidden="1">
      <c r="A7" s="455" t="str">
        <f t="shared" si="0"/>
        <v>10001011000000</v>
      </c>
      <c r="B7" s="455" t="str">
        <f>VLOOKUP(LEFT($C$3:$C$2600,3),Table!$D$2:$E$88,2,FALSE)</f>
        <v>Net fixed assets</v>
      </c>
      <c r="C7" s="455" t="str">
        <f t="shared" si="1"/>
        <v>1011000000</v>
      </c>
      <c r="D7" s="455" t="e">
        <f>VLOOKUP(G7,Table!$G$3:$H$21,2,FALSE)</f>
        <v>#N/A</v>
      </c>
      <c r="E7" s="452" t="s">
        <v>840</v>
      </c>
      <c r="F7" s="452" t="s">
        <v>582</v>
      </c>
      <c r="G7" s="452" t="s">
        <v>845</v>
      </c>
      <c r="H7" s="452" t="s">
        <v>35</v>
      </c>
      <c r="I7" s="453" t="s">
        <v>844</v>
      </c>
      <c r="J7" s="453">
        <v>0</v>
      </c>
      <c r="K7" s="461">
        <v>-453040.81</v>
      </c>
      <c r="L7" s="461">
        <v>-439740.81</v>
      </c>
      <c r="M7" s="461">
        <v>-411740.81</v>
      </c>
      <c r="N7" s="461">
        <v>-411740.81</v>
      </c>
      <c r="O7" s="461">
        <v>-411740.81</v>
      </c>
      <c r="P7" s="461">
        <v>-411740.81</v>
      </c>
      <c r="Q7" s="461">
        <v>0</v>
      </c>
      <c r="R7" s="461">
        <v>0</v>
      </c>
      <c r="S7" s="461">
        <v>0</v>
      </c>
      <c r="T7" s="461">
        <v>0</v>
      </c>
      <c r="U7" s="461">
        <v>0</v>
      </c>
      <c r="V7" s="461">
        <v>0</v>
      </c>
    </row>
    <row r="8" spans="1:22" s="455" customFormat="1" hidden="1">
      <c r="A8" s="455" t="str">
        <f t="shared" si="0"/>
        <v>10001021000000</v>
      </c>
      <c r="B8" s="455" t="str">
        <f>VLOOKUP(LEFT($C$3:$C$2600,3),Table!$D$2:$E$88,2,FALSE)</f>
        <v>Net fixed assets</v>
      </c>
      <c r="C8" s="455" t="str">
        <f t="shared" si="1"/>
        <v>1021000000</v>
      </c>
      <c r="D8" s="455" t="e">
        <f>VLOOKUP(G8,Table!$G$3:$H$21,2,FALSE)</f>
        <v>#N/A</v>
      </c>
      <c r="E8" s="452" t="s">
        <v>840</v>
      </c>
      <c r="F8" s="452" t="s">
        <v>582</v>
      </c>
      <c r="G8" s="452" t="s">
        <v>846</v>
      </c>
      <c r="H8" s="452" t="s">
        <v>36</v>
      </c>
      <c r="I8" s="453" t="s">
        <v>842</v>
      </c>
      <c r="J8" s="453">
        <v>123929</v>
      </c>
      <c r="K8" s="461">
        <v>123929</v>
      </c>
      <c r="L8" s="461">
        <v>123929</v>
      </c>
      <c r="M8" s="461">
        <v>123929</v>
      </c>
      <c r="N8" s="461">
        <v>123929</v>
      </c>
      <c r="O8" s="461">
        <v>123929</v>
      </c>
      <c r="P8" s="461">
        <v>123929</v>
      </c>
      <c r="Q8" s="461">
        <v>123929</v>
      </c>
      <c r="R8" s="461">
        <v>123929</v>
      </c>
      <c r="S8" s="461">
        <v>123929</v>
      </c>
      <c r="T8" s="461">
        <v>123929</v>
      </c>
      <c r="U8" s="461">
        <v>123929</v>
      </c>
      <c r="V8" s="461">
        <v>123929</v>
      </c>
    </row>
    <row r="9" spans="1:22" s="455" customFormat="1" hidden="1">
      <c r="A9" s="455" t="str">
        <f t="shared" si="0"/>
        <v>10001021000000</v>
      </c>
      <c r="B9" s="455" t="str">
        <f>VLOOKUP(LEFT($C$3:$C$2600,3),Table!$D$2:$E$88,2,FALSE)</f>
        <v>Net fixed assets</v>
      </c>
      <c r="C9" s="455" t="str">
        <f t="shared" si="1"/>
        <v>1021000000</v>
      </c>
      <c r="D9" s="455" t="e">
        <f>VLOOKUP(G9,Table!$G$3:$H$21,2,FALSE)</f>
        <v>#N/A</v>
      </c>
      <c r="E9" s="452" t="s">
        <v>840</v>
      </c>
      <c r="F9" s="452" t="s">
        <v>582</v>
      </c>
      <c r="G9" s="452" t="s">
        <v>846</v>
      </c>
      <c r="H9" s="452" t="s">
        <v>36</v>
      </c>
      <c r="I9" s="453" t="s">
        <v>844</v>
      </c>
      <c r="J9" s="453">
        <v>0</v>
      </c>
      <c r="K9" s="461">
        <v>0</v>
      </c>
      <c r="L9" s="461">
        <v>0</v>
      </c>
      <c r="M9" s="461">
        <v>0</v>
      </c>
      <c r="N9" s="461">
        <v>0</v>
      </c>
      <c r="O9" s="461">
        <v>0</v>
      </c>
      <c r="P9" s="461">
        <v>0</v>
      </c>
      <c r="Q9" s="461">
        <v>0</v>
      </c>
      <c r="R9" s="461">
        <v>0</v>
      </c>
      <c r="S9" s="461">
        <v>0</v>
      </c>
      <c r="T9" s="461">
        <v>0</v>
      </c>
      <c r="U9" s="461">
        <v>0</v>
      </c>
      <c r="V9" s="461">
        <v>0</v>
      </c>
    </row>
    <row r="10" spans="1:22" s="455" customFormat="1" hidden="1">
      <c r="A10" s="455" t="str">
        <f t="shared" si="0"/>
        <v>10001021100000</v>
      </c>
      <c r="B10" s="455" t="str">
        <f>VLOOKUP(LEFT($C$3:$C$2600,3),Table!$D$2:$E$88,2,FALSE)</f>
        <v>Net fixed assets</v>
      </c>
      <c r="C10" s="455" t="str">
        <f t="shared" si="1"/>
        <v>1021100000</v>
      </c>
      <c r="D10" s="455" t="e">
        <f>VLOOKUP(G10,Table!$G$3:$H$21,2,FALSE)</f>
        <v>#N/A</v>
      </c>
      <c r="E10" s="452" t="s">
        <v>840</v>
      </c>
      <c r="F10" s="452" t="s">
        <v>582</v>
      </c>
      <c r="G10" s="452" t="s">
        <v>847</v>
      </c>
      <c r="H10" s="452" t="s">
        <v>37</v>
      </c>
      <c r="I10" s="453" t="s">
        <v>842</v>
      </c>
      <c r="J10" s="453">
        <v>1194680.2</v>
      </c>
      <c r="K10" s="461">
        <v>1194680.2</v>
      </c>
      <c r="L10" s="461">
        <v>1194680.2</v>
      </c>
      <c r="M10" s="461">
        <v>1194680.2</v>
      </c>
      <c r="N10" s="461">
        <v>1194680.2</v>
      </c>
      <c r="O10" s="461">
        <v>1194680.2</v>
      </c>
      <c r="P10" s="461">
        <v>1194680.2</v>
      </c>
      <c r="Q10" s="461">
        <v>1194680.2</v>
      </c>
      <c r="R10" s="461">
        <v>1194680.2</v>
      </c>
      <c r="S10" s="461">
        <v>1194680.2</v>
      </c>
      <c r="T10" s="461">
        <v>1194680.2</v>
      </c>
      <c r="U10" s="461">
        <v>1194680.2</v>
      </c>
      <c r="V10" s="461">
        <v>1194680.2</v>
      </c>
    </row>
    <row r="11" spans="1:22" s="455" customFormat="1" hidden="1">
      <c r="A11" s="455" t="str">
        <f t="shared" si="0"/>
        <v>10001021100000</v>
      </c>
      <c r="B11" s="455" t="str">
        <f>VLOOKUP(LEFT($C$3:$C$2600,3),Table!$D$2:$E$88,2,FALSE)</f>
        <v>Net fixed assets</v>
      </c>
      <c r="C11" s="455" t="str">
        <f t="shared" si="1"/>
        <v>1021100000</v>
      </c>
      <c r="D11" s="455" t="e">
        <f>VLOOKUP(G11,Table!$G$3:$H$21,2,FALSE)</f>
        <v>#N/A</v>
      </c>
      <c r="E11" s="452" t="s">
        <v>840</v>
      </c>
      <c r="F11" s="452" t="s">
        <v>582</v>
      </c>
      <c r="G11" s="452" t="s">
        <v>847</v>
      </c>
      <c r="H11" s="452" t="s">
        <v>37</v>
      </c>
      <c r="I11" s="453" t="s">
        <v>844</v>
      </c>
      <c r="J11" s="453">
        <v>0</v>
      </c>
      <c r="K11" s="461">
        <v>0</v>
      </c>
      <c r="L11" s="461">
        <v>19900</v>
      </c>
      <c r="M11" s="461">
        <v>-27313</v>
      </c>
      <c r="N11" s="461">
        <v>-27313</v>
      </c>
      <c r="O11" s="461">
        <v>-27313</v>
      </c>
      <c r="P11" s="461">
        <v>-27313</v>
      </c>
      <c r="Q11" s="461">
        <v>0</v>
      </c>
      <c r="R11" s="461">
        <v>0</v>
      </c>
      <c r="S11" s="461">
        <v>0</v>
      </c>
      <c r="T11" s="461">
        <v>0</v>
      </c>
      <c r="U11" s="461">
        <v>0</v>
      </c>
      <c r="V11" s="461">
        <v>0</v>
      </c>
    </row>
    <row r="12" spans="1:22" s="455" customFormat="1" hidden="1">
      <c r="A12" s="455" t="str">
        <f t="shared" si="0"/>
        <v>10001021200000</v>
      </c>
      <c r="B12" s="455" t="str">
        <f>VLOOKUP(LEFT($C$3:$C$2600,3),Table!$D$2:$E$88,2,FALSE)</f>
        <v>Net fixed assets</v>
      </c>
      <c r="C12" s="455" t="str">
        <f t="shared" si="1"/>
        <v>1021200000</v>
      </c>
      <c r="D12" s="455" t="e">
        <f>VLOOKUP(G12,Table!$G$3:$H$21,2,FALSE)</f>
        <v>#N/A</v>
      </c>
      <c r="E12" s="452" t="s">
        <v>840</v>
      </c>
      <c r="F12" s="452" t="s">
        <v>582</v>
      </c>
      <c r="G12" s="452" t="s">
        <v>848</v>
      </c>
      <c r="H12" s="452" t="s">
        <v>38</v>
      </c>
      <c r="I12" s="453" t="s">
        <v>842</v>
      </c>
      <c r="J12" s="453">
        <v>989991.13</v>
      </c>
      <c r="K12" s="461">
        <v>989991.13</v>
      </c>
      <c r="L12" s="461">
        <v>989991.13</v>
      </c>
      <c r="M12" s="461">
        <v>989991.13</v>
      </c>
      <c r="N12" s="461">
        <v>989991.13</v>
      </c>
      <c r="O12" s="461">
        <v>989991.13</v>
      </c>
      <c r="P12" s="461">
        <v>989991.13</v>
      </c>
      <c r="Q12" s="461">
        <v>989991.13</v>
      </c>
      <c r="R12" s="461">
        <v>989991.13</v>
      </c>
      <c r="S12" s="461">
        <v>989991.13</v>
      </c>
      <c r="T12" s="461">
        <v>989991.13</v>
      </c>
      <c r="U12" s="461">
        <v>989991.13</v>
      </c>
      <c r="V12" s="461">
        <v>989991.13</v>
      </c>
    </row>
    <row r="13" spans="1:22" s="455" customFormat="1" hidden="1">
      <c r="A13" s="455" t="str">
        <f t="shared" si="0"/>
        <v>10001021200000</v>
      </c>
      <c r="B13" s="455" t="str">
        <f>VLOOKUP(LEFT($C$3:$C$2600,3),Table!$D$2:$E$88,2,FALSE)</f>
        <v>Net fixed assets</v>
      </c>
      <c r="C13" s="455" t="str">
        <f t="shared" si="1"/>
        <v>1021200000</v>
      </c>
      <c r="D13" s="455" t="e">
        <f>VLOOKUP(G13,Table!$G$3:$H$21,2,FALSE)</f>
        <v>#N/A</v>
      </c>
      <c r="E13" s="452" t="s">
        <v>840</v>
      </c>
      <c r="F13" s="452" t="s">
        <v>582</v>
      </c>
      <c r="G13" s="452" t="s">
        <v>848</v>
      </c>
      <c r="H13" s="452" t="s">
        <v>38</v>
      </c>
      <c r="I13" s="453" t="s">
        <v>844</v>
      </c>
      <c r="J13" s="453">
        <v>0</v>
      </c>
      <c r="K13" s="461">
        <v>-5350</v>
      </c>
      <c r="L13" s="461">
        <v>-1820</v>
      </c>
      <c r="M13" s="461">
        <v>-1820</v>
      </c>
      <c r="N13" s="461">
        <v>-1820</v>
      </c>
      <c r="O13" s="461">
        <v>-1820</v>
      </c>
      <c r="P13" s="461">
        <v>-1820</v>
      </c>
      <c r="Q13" s="461">
        <v>0</v>
      </c>
      <c r="R13" s="461">
        <v>0</v>
      </c>
      <c r="S13" s="461">
        <v>0</v>
      </c>
      <c r="T13" s="461">
        <v>0</v>
      </c>
      <c r="U13" s="461">
        <v>0</v>
      </c>
      <c r="V13" s="461">
        <v>0</v>
      </c>
    </row>
    <row r="14" spans="1:22" s="455" customFormat="1" hidden="1">
      <c r="A14" s="455" t="str">
        <f t="shared" si="0"/>
        <v>10001031000000</v>
      </c>
      <c r="B14" s="455" t="str">
        <f>VLOOKUP(LEFT($C$3:$C$2600,3),Table!$D$2:$E$88,2,FALSE)</f>
        <v>Net fixed assets</v>
      </c>
      <c r="C14" s="455" t="str">
        <f t="shared" si="1"/>
        <v>1031000000</v>
      </c>
      <c r="D14" s="455" t="e">
        <f>VLOOKUP(G14,Table!$G$3:$H$21,2,FALSE)</f>
        <v>#N/A</v>
      </c>
      <c r="E14" s="452" t="s">
        <v>840</v>
      </c>
      <c r="F14" s="452" t="s">
        <v>582</v>
      </c>
      <c r="G14" s="452" t="s">
        <v>849</v>
      </c>
      <c r="H14" s="452" t="s">
        <v>39</v>
      </c>
      <c r="I14" s="453" t="s">
        <v>842</v>
      </c>
      <c r="J14" s="453">
        <v>1894983.35</v>
      </c>
      <c r="K14" s="461">
        <v>1894983.35</v>
      </c>
      <c r="L14" s="461">
        <v>1894983.35</v>
      </c>
      <c r="M14" s="461">
        <v>1894983.35</v>
      </c>
      <c r="N14" s="461">
        <v>1894983.35</v>
      </c>
      <c r="O14" s="461">
        <v>1894983.35</v>
      </c>
      <c r="P14" s="461">
        <v>1894983.35</v>
      </c>
      <c r="Q14" s="461">
        <v>1894983.35</v>
      </c>
      <c r="R14" s="461">
        <v>1894983.35</v>
      </c>
      <c r="S14" s="461">
        <v>1894983.35</v>
      </c>
      <c r="T14" s="461">
        <v>1894983.35</v>
      </c>
      <c r="U14" s="461">
        <v>1894983.35</v>
      </c>
      <c r="V14" s="461">
        <v>1894983.35</v>
      </c>
    </row>
    <row r="15" spans="1:22" s="455" customFormat="1" hidden="1">
      <c r="A15" s="455" t="str">
        <f t="shared" si="0"/>
        <v>10001031000000</v>
      </c>
      <c r="B15" s="455" t="str">
        <f>VLOOKUP(LEFT($C$3:$C$2600,3),Table!$D$2:$E$88,2,FALSE)</f>
        <v>Net fixed assets</v>
      </c>
      <c r="C15" s="455" t="str">
        <f t="shared" si="1"/>
        <v>1031000000</v>
      </c>
      <c r="D15" s="455" t="e">
        <f>VLOOKUP(G15,Table!$G$3:$H$21,2,FALSE)</f>
        <v>#N/A</v>
      </c>
      <c r="E15" s="452" t="s">
        <v>840</v>
      </c>
      <c r="F15" s="452" t="s">
        <v>582</v>
      </c>
      <c r="G15" s="452" t="s">
        <v>849</v>
      </c>
      <c r="H15" s="452" t="s">
        <v>39</v>
      </c>
      <c r="I15" s="453" t="s">
        <v>844</v>
      </c>
      <c r="J15" s="453">
        <v>0</v>
      </c>
      <c r="K15" s="461">
        <v>0</v>
      </c>
      <c r="L15" s="461">
        <v>0</v>
      </c>
      <c r="M15" s="461">
        <v>449718</v>
      </c>
      <c r="N15" s="461">
        <v>449718</v>
      </c>
      <c r="O15" s="461">
        <v>449718</v>
      </c>
      <c r="P15" s="461">
        <v>449718</v>
      </c>
      <c r="Q15" s="461">
        <v>0</v>
      </c>
      <c r="R15" s="461">
        <v>0</v>
      </c>
      <c r="S15" s="461">
        <v>0</v>
      </c>
      <c r="T15" s="461">
        <v>0</v>
      </c>
      <c r="U15" s="461">
        <v>0</v>
      </c>
      <c r="V15" s="461">
        <v>0</v>
      </c>
    </row>
    <row r="16" spans="1:22" s="455" customFormat="1" hidden="1">
      <c r="A16" s="455" t="str">
        <f t="shared" si="0"/>
        <v>10001050000000</v>
      </c>
      <c r="B16" s="455" t="str">
        <f>VLOOKUP(LEFT($C$3:$C$2600,3),Table!$D$2:$E$88,2,FALSE)</f>
        <v>Net fixed assets</v>
      </c>
      <c r="C16" s="455" t="str">
        <f t="shared" si="1"/>
        <v>1050000000</v>
      </c>
      <c r="D16" s="455" t="e">
        <f>VLOOKUP(G16,Table!$G$3:$H$21,2,FALSE)</f>
        <v>#N/A</v>
      </c>
      <c r="E16" s="452" t="s">
        <v>840</v>
      </c>
      <c r="F16" s="452" t="s">
        <v>582</v>
      </c>
      <c r="G16" s="452" t="s">
        <v>850</v>
      </c>
      <c r="H16" s="452" t="s">
        <v>40</v>
      </c>
      <c r="I16" s="453" t="s">
        <v>842</v>
      </c>
      <c r="J16" s="453">
        <v>10803707.210000001</v>
      </c>
      <c r="K16" s="461">
        <v>10803707.210000001</v>
      </c>
      <c r="L16" s="461">
        <v>10803707.210000001</v>
      </c>
      <c r="M16" s="461">
        <v>10803707.210000001</v>
      </c>
      <c r="N16" s="461">
        <v>10803707.210000001</v>
      </c>
      <c r="O16" s="461">
        <v>10803707.210000001</v>
      </c>
      <c r="P16" s="461">
        <v>10803707.210000001</v>
      </c>
      <c r="Q16" s="461">
        <v>10803707.210000001</v>
      </c>
      <c r="R16" s="461">
        <v>10803707.210000001</v>
      </c>
      <c r="S16" s="461">
        <v>10803707.210000001</v>
      </c>
      <c r="T16" s="461">
        <v>10803707.210000001</v>
      </c>
      <c r="U16" s="461">
        <v>10803707.210000001</v>
      </c>
      <c r="V16" s="461">
        <v>10803707.210000001</v>
      </c>
    </row>
    <row r="17" spans="1:22" s="455" customFormat="1" hidden="1">
      <c r="A17" s="455" t="str">
        <f t="shared" si="0"/>
        <v>10001050000000</v>
      </c>
      <c r="B17" s="455" t="str">
        <f>VLOOKUP(LEFT($C$3:$C$2600,3),Table!$D$2:$E$88,2,FALSE)</f>
        <v>Net fixed assets</v>
      </c>
      <c r="C17" s="455" t="str">
        <f t="shared" si="1"/>
        <v>1050000000</v>
      </c>
      <c r="D17" s="455" t="e">
        <f>VLOOKUP(G17,Table!$G$3:$H$21,2,FALSE)</f>
        <v>#N/A</v>
      </c>
      <c r="E17" s="452" t="s">
        <v>840</v>
      </c>
      <c r="F17" s="452" t="s">
        <v>582</v>
      </c>
      <c r="G17" s="452" t="s">
        <v>850</v>
      </c>
      <c r="H17" s="452" t="s">
        <v>40</v>
      </c>
      <c r="I17" s="453" t="s">
        <v>844</v>
      </c>
      <c r="J17" s="453">
        <v>0</v>
      </c>
      <c r="K17" s="461">
        <v>676623.35999999999</v>
      </c>
      <c r="L17" s="461">
        <v>1879592.93</v>
      </c>
      <c r="M17" s="461">
        <v>2518099.08</v>
      </c>
      <c r="N17" s="461">
        <v>561470.43000000005</v>
      </c>
      <c r="O17" s="461">
        <v>561470.43000000005</v>
      </c>
      <c r="P17" s="461">
        <v>561470.43000000005</v>
      </c>
      <c r="Q17" s="461">
        <v>0</v>
      </c>
      <c r="R17" s="461">
        <v>0</v>
      </c>
      <c r="S17" s="461">
        <v>0</v>
      </c>
      <c r="T17" s="461">
        <v>0</v>
      </c>
      <c r="U17" s="461">
        <v>0</v>
      </c>
      <c r="V17" s="461">
        <v>0</v>
      </c>
    </row>
    <row r="18" spans="1:22" s="455" customFormat="1" hidden="1">
      <c r="A18" s="455" t="str">
        <f t="shared" si="0"/>
        <v>10001400900000</v>
      </c>
      <c r="B18" s="455" t="str">
        <f>VLOOKUP(LEFT($C$3:$C$2600,3),Table!$D$2:$E$88,2,FALSE)</f>
        <v>Inventories</v>
      </c>
      <c r="C18" s="455" t="str">
        <f t="shared" si="1"/>
        <v>1400900000</v>
      </c>
      <c r="D18" s="455" t="e">
        <f>VLOOKUP(G18,Table!$G$3:$H$21,2,FALSE)</f>
        <v>#N/A</v>
      </c>
      <c r="E18" s="452" t="s">
        <v>840</v>
      </c>
      <c r="F18" s="452" t="s">
        <v>582</v>
      </c>
      <c r="G18" s="452" t="s">
        <v>851</v>
      </c>
      <c r="H18" s="452" t="s">
        <v>57</v>
      </c>
      <c r="I18" s="453" t="s">
        <v>842</v>
      </c>
      <c r="J18" s="453">
        <v>0</v>
      </c>
      <c r="K18" s="461">
        <v>0</v>
      </c>
      <c r="L18" s="461">
        <v>0</v>
      </c>
      <c r="M18" s="461">
        <v>1027123.34</v>
      </c>
      <c r="N18" s="461">
        <v>3433032.03</v>
      </c>
      <c r="O18" s="461">
        <v>3433032.03</v>
      </c>
      <c r="P18" s="461">
        <v>3433032.03</v>
      </c>
      <c r="Q18" s="461">
        <v>3433032.03</v>
      </c>
      <c r="R18" s="461">
        <v>3433032.03</v>
      </c>
      <c r="S18" s="461">
        <v>3433032.03</v>
      </c>
      <c r="T18" s="461">
        <v>3433032.03</v>
      </c>
      <c r="U18" s="461">
        <v>3433032.03</v>
      </c>
      <c r="V18" s="461">
        <v>3433032.03</v>
      </c>
    </row>
    <row r="19" spans="1:22" s="455" customFormat="1" hidden="1">
      <c r="A19" s="455" t="str">
        <f t="shared" si="0"/>
        <v>10001401001200</v>
      </c>
      <c r="B19" s="455" t="str">
        <f>VLOOKUP(LEFT($C$3:$C$2600,3),Table!$D$2:$E$88,2,FALSE)</f>
        <v>Inventories</v>
      </c>
      <c r="C19" s="455" t="str">
        <f t="shared" si="1"/>
        <v>1401001200</v>
      </c>
      <c r="D19" s="455" t="e">
        <f>VLOOKUP(G19,Table!$G$3:$H$21,2,FALSE)</f>
        <v>#N/A</v>
      </c>
      <c r="E19" s="452" t="s">
        <v>840</v>
      </c>
      <c r="F19" s="452" t="s">
        <v>582</v>
      </c>
      <c r="G19" s="452" t="s">
        <v>852</v>
      </c>
      <c r="H19" s="452" t="s">
        <v>58</v>
      </c>
      <c r="I19" s="453" t="s">
        <v>842</v>
      </c>
      <c r="J19" s="453">
        <v>1309555.45</v>
      </c>
      <c r="K19" s="461">
        <v>3224018.99</v>
      </c>
      <c r="L19" s="461">
        <v>561013.9</v>
      </c>
      <c r="M19" s="461">
        <v>1010749.14</v>
      </c>
      <c r="N19" s="461">
        <v>1010749.14</v>
      </c>
      <c r="O19" s="461">
        <v>1010749.14</v>
      </c>
      <c r="P19" s="461">
        <v>1010749.14</v>
      </c>
      <c r="Q19" s="461">
        <v>1010749.14</v>
      </c>
      <c r="R19" s="461">
        <v>1010749.14</v>
      </c>
      <c r="S19" s="461">
        <v>1010749.14</v>
      </c>
      <c r="T19" s="461">
        <v>1010749.14</v>
      </c>
      <c r="U19" s="461">
        <v>1010749.14</v>
      </c>
      <c r="V19" s="461">
        <v>1010749.14</v>
      </c>
    </row>
    <row r="20" spans="1:22" s="455" customFormat="1" hidden="1">
      <c r="A20" s="455" t="str">
        <f t="shared" si="0"/>
        <v>10001401001300</v>
      </c>
      <c r="B20" s="455" t="str">
        <f>VLOOKUP(LEFT($C$3:$C$2600,3),Table!$D$2:$E$88,2,FALSE)</f>
        <v>Inventories</v>
      </c>
      <c r="C20" s="455" t="str">
        <f t="shared" si="1"/>
        <v>1401001300</v>
      </c>
      <c r="D20" s="455" t="e">
        <f>VLOOKUP(G20,Table!$G$3:$H$21,2,FALSE)</f>
        <v>#N/A</v>
      </c>
      <c r="E20" s="452" t="s">
        <v>840</v>
      </c>
      <c r="F20" s="452" t="s">
        <v>582</v>
      </c>
      <c r="G20" s="452" t="s">
        <v>853</v>
      </c>
      <c r="H20" s="452" t="s">
        <v>59</v>
      </c>
      <c r="I20" s="453" t="s">
        <v>842</v>
      </c>
      <c r="J20" s="453">
        <v>420986.42</v>
      </c>
      <c r="K20" s="461">
        <v>-214781.39</v>
      </c>
      <c r="L20" s="461">
        <v>665948.68000000005</v>
      </c>
      <c r="M20" s="461">
        <v>884344.51</v>
      </c>
      <c r="N20" s="461">
        <v>884344.51</v>
      </c>
      <c r="O20" s="461">
        <v>884344.51</v>
      </c>
      <c r="P20" s="461">
        <v>884344.51</v>
      </c>
      <c r="Q20" s="461">
        <v>884344.51</v>
      </c>
      <c r="R20" s="461">
        <v>884344.51</v>
      </c>
      <c r="S20" s="461">
        <v>884344.51</v>
      </c>
      <c r="T20" s="461">
        <v>884344.51</v>
      </c>
      <c r="U20" s="461">
        <v>884344.51</v>
      </c>
      <c r="V20" s="461">
        <v>884344.51</v>
      </c>
    </row>
    <row r="21" spans="1:22" s="455" customFormat="1" hidden="1">
      <c r="A21" s="455" t="str">
        <f t="shared" si="0"/>
        <v>10001401001510</v>
      </c>
      <c r="B21" s="455" t="str">
        <f>VLOOKUP(LEFT($C$3:$C$2600,3),Table!$D$2:$E$88,2,FALSE)</f>
        <v>Inventories</v>
      </c>
      <c r="C21" s="455" t="str">
        <f t="shared" si="1"/>
        <v>1401001510</v>
      </c>
      <c r="D21" s="455" t="e">
        <f>VLOOKUP(G21,Table!$G$3:$H$21,2,FALSE)</f>
        <v>#N/A</v>
      </c>
      <c r="E21" s="452" t="s">
        <v>840</v>
      </c>
      <c r="F21" s="452" t="s">
        <v>582</v>
      </c>
      <c r="G21" s="452" t="s">
        <v>854</v>
      </c>
      <c r="H21" s="452" t="s">
        <v>60</v>
      </c>
      <c r="I21" s="453" t="s">
        <v>842</v>
      </c>
      <c r="J21" s="453">
        <v>68392.25</v>
      </c>
      <c r="K21" s="461">
        <v>35532.25</v>
      </c>
      <c r="L21" s="461">
        <v>14392.78</v>
      </c>
      <c r="M21" s="461">
        <v>17725.59</v>
      </c>
      <c r="N21" s="461">
        <v>17725.59</v>
      </c>
      <c r="O21" s="461">
        <v>17725.59</v>
      </c>
      <c r="P21" s="461">
        <v>17725.59</v>
      </c>
      <c r="Q21" s="461">
        <v>17725.59</v>
      </c>
      <c r="R21" s="461">
        <v>17725.59</v>
      </c>
      <c r="S21" s="461">
        <v>17725.59</v>
      </c>
      <c r="T21" s="461">
        <v>17725.59</v>
      </c>
      <c r="U21" s="461">
        <v>17725.59</v>
      </c>
      <c r="V21" s="461">
        <v>17725.59</v>
      </c>
    </row>
    <row r="22" spans="1:22" s="455" customFormat="1" hidden="1">
      <c r="A22" s="455" t="str">
        <f t="shared" si="0"/>
        <v>10001401001520</v>
      </c>
      <c r="B22" s="455" t="str">
        <f>VLOOKUP(LEFT($C$3:$C$2600,3),Table!$D$2:$E$88,2,FALSE)</f>
        <v>Inventories</v>
      </c>
      <c r="C22" s="455" t="str">
        <f t="shared" si="1"/>
        <v>1401001520</v>
      </c>
      <c r="D22" s="455" t="e">
        <f>VLOOKUP(G22,Table!$G$3:$H$21,2,FALSE)</f>
        <v>#N/A</v>
      </c>
      <c r="E22" s="452" t="s">
        <v>840</v>
      </c>
      <c r="F22" s="452" t="s">
        <v>582</v>
      </c>
      <c r="G22" s="452" t="s">
        <v>855</v>
      </c>
      <c r="H22" s="452" t="s">
        <v>61</v>
      </c>
      <c r="I22" s="453" t="s">
        <v>842</v>
      </c>
      <c r="J22" s="453">
        <v>228739.14</v>
      </c>
      <c r="K22" s="461">
        <v>225183.14</v>
      </c>
      <c r="L22" s="461">
        <v>198693.26</v>
      </c>
      <c r="M22" s="461">
        <v>171296.26</v>
      </c>
      <c r="N22" s="461">
        <v>171296.26</v>
      </c>
      <c r="O22" s="461">
        <v>171296.26</v>
      </c>
      <c r="P22" s="461">
        <v>171296.26</v>
      </c>
      <c r="Q22" s="461">
        <v>171296.26</v>
      </c>
      <c r="R22" s="461">
        <v>171296.26</v>
      </c>
      <c r="S22" s="461">
        <v>171296.26</v>
      </c>
      <c r="T22" s="461">
        <v>171296.26</v>
      </c>
      <c r="U22" s="461">
        <v>171296.26</v>
      </c>
      <c r="V22" s="461">
        <v>171296.26</v>
      </c>
    </row>
    <row r="23" spans="1:22" s="455" customFormat="1" hidden="1">
      <c r="A23" s="455" t="str">
        <f t="shared" si="0"/>
        <v>10001401001530</v>
      </c>
      <c r="B23" s="455" t="str">
        <f>VLOOKUP(LEFT($C$3:$C$2600,3),Table!$D$2:$E$88,2,FALSE)</f>
        <v>Inventories</v>
      </c>
      <c r="C23" s="455" t="str">
        <f t="shared" si="1"/>
        <v>1401001530</v>
      </c>
      <c r="D23" s="455" t="e">
        <f>VLOOKUP(G23,Table!$G$3:$H$21,2,FALSE)</f>
        <v>#N/A</v>
      </c>
      <c r="E23" s="452" t="s">
        <v>840</v>
      </c>
      <c r="F23" s="452" t="s">
        <v>582</v>
      </c>
      <c r="G23" s="452" t="s">
        <v>856</v>
      </c>
      <c r="H23" s="452" t="s">
        <v>62</v>
      </c>
      <c r="I23" s="453" t="s">
        <v>842</v>
      </c>
      <c r="J23" s="453">
        <v>96571.7</v>
      </c>
      <c r="K23" s="461">
        <v>96571.7</v>
      </c>
      <c r="L23" s="461">
        <v>92453.7</v>
      </c>
      <c r="M23" s="461">
        <v>88142.7</v>
      </c>
      <c r="N23" s="461">
        <v>88142.7</v>
      </c>
      <c r="O23" s="461">
        <v>88142.7</v>
      </c>
      <c r="P23" s="461">
        <v>88142.7</v>
      </c>
      <c r="Q23" s="461">
        <v>88142.7</v>
      </c>
      <c r="R23" s="461">
        <v>88142.7</v>
      </c>
      <c r="S23" s="461">
        <v>88142.7</v>
      </c>
      <c r="T23" s="461">
        <v>88142.7</v>
      </c>
      <c r="U23" s="461">
        <v>88142.7</v>
      </c>
      <c r="V23" s="461">
        <v>88142.7</v>
      </c>
    </row>
    <row r="24" spans="1:22" s="455" customFormat="1" hidden="1">
      <c r="A24" s="455" t="str">
        <f t="shared" si="0"/>
        <v>10001401001540</v>
      </c>
      <c r="B24" s="455" t="str">
        <f>VLOOKUP(LEFT($C$3:$C$2600,3),Table!$D$2:$E$88,2,FALSE)</f>
        <v>Inventories</v>
      </c>
      <c r="C24" s="455" t="str">
        <f t="shared" si="1"/>
        <v>1401001540</v>
      </c>
      <c r="D24" s="455" t="e">
        <f>VLOOKUP(G24,Table!$G$3:$H$21,2,FALSE)</f>
        <v>#N/A</v>
      </c>
      <c r="E24" s="452" t="s">
        <v>840</v>
      </c>
      <c r="F24" s="452" t="s">
        <v>582</v>
      </c>
      <c r="G24" s="452" t="s">
        <v>857</v>
      </c>
      <c r="H24" s="452" t="s">
        <v>63</v>
      </c>
      <c r="I24" s="453" t="s">
        <v>842</v>
      </c>
      <c r="J24" s="453">
        <v>25484.02</v>
      </c>
      <c r="K24" s="461">
        <v>20659.38</v>
      </c>
      <c r="L24" s="461">
        <v>28461.03</v>
      </c>
      <c r="M24" s="461">
        <v>26718.26</v>
      </c>
      <c r="N24" s="461">
        <v>26718.26</v>
      </c>
      <c r="O24" s="461">
        <v>26718.26</v>
      </c>
      <c r="P24" s="461">
        <v>26718.26</v>
      </c>
      <c r="Q24" s="461">
        <v>26718.26</v>
      </c>
      <c r="R24" s="461">
        <v>26718.26</v>
      </c>
      <c r="S24" s="461">
        <v>26718.26</v>
      </c>
      <c r="T24" s="461">
        <v>26718.26</v>
      </c>
      <c r="U24" s="461">
        <v>26718.26</v>
      </c>
      <c r="V24" s="461">
        <v>26718.26</v>
      </c>
    </row>
    <row r="25" spans="1:22" s="455" customFormat="1" hidden="1">
      <c r="A25" s="455" t="str">
        <f t="shared" si="0"/>
        <v>10001401001550</v>
      </c>
      <c r="B25" s="455" t="str">
        <f>VLOOKUP(LEFT($C$3:$C$2600,3),Table!$D$2:$E$88,2,FALSE)</f>
        <v>Inventories</v>
      </c>
      <c r="C25" s="455" t="str">
        <f t="shared" si="1"/>
        <v>1401001550</v>
      </c>
      <c r="D25" s="455" t="e">
        <f>VLOOKUP(G25,Table!$G$3:$H$21,2,FALSE)</f>
        <v>#N/A</v>
      </c>
      <c r="E25" s="452" t="s">
        <v>840</v>
      </c>
      <c r="F25" s="452" t="s">
        <v>582</v>
      </c>
      <c r="G25" s="452" t="s">
        <v>858</v>
      </c>
      <c r="H25" s="452" t="s">
        <v>64</v>
      </c>
      <c r="I25" s="453" t="s">
        <v>842</v>
      </c>
      <c r="J25" s="453">
        <v>20302.59</v>
      </c>
      <c r="K25" s="461">
        <v>35733.589999999997</v>
      </c>
      <c r="L25" s="461">
        <v>34870.589999999997</v>
      </c>
      <c r="M25" s="461">
        <v>21878.79</v>
      </c>
      <c r="N25" s="461">
        <v>21878.79</v>
      </c>
      <c r="O25" s="461">
        <v>21878.79</v>
      </c>
      <c r="P25" s="461">
        <v>21878.79</v>
      </c>
      <c r="Q25" s="461">
        <v>21878.79</v>
      </c>
      <c r="R25" s="461">
        <v>21878.79</v>
      </c>
      <c r="S25" s="461">
        <v>21878.79</v>
      </c>
      <c r="T25" s="461">
        <v>21878.79</v>
      </c>
      <c r="U25" s="461">
        <v>21878.79</v>
      </c>
      <c r="V25" s="461">
        <v>21878.79</v>
      </c>
    </row>
    <row r="26" spans="1:22" s="455" customFormat="1" hidden="1">
      <c r="A26" s="455" t="str">
        <f t="shared" si="0"/>
        <v>10001401001560</v>
      </c>
      <c r="B26" s="455" t="str">
        <f>VLOOKUP(LEFT($C$3:$C$2600,3),Table!$D$2:$E$88,2,FALSE)</f>
        <v>Inventories</v>
      </c>
      <c r="C26" s="455" t="str">
        <f t="shared" si="1"/>
        <v>1401001560</v>
      </c>
      <c r="D26" s="455" t="e">
        <f>VLOOKUP(G26,Table!$G$3:$H$21,2,FALSE)</f>
        <v>#N/A</v>
      </c>
      <c r="E26" s="452" t="s">
        <v>840</v>
      </c>
      <c r="F26" s="452" t="s">
        <v>582</v>
      </c>
      <c r="G26" s="452" t="s">
        <v>859</v>
      </c>
      <c r="H26" s="452" t="s">
        <v>65</v>
      </c>
      <c r="I26" s="453" t="s">
        <v>842</v>
      </c>
      <c r="J26" s="453">
        <v>149587.60999999999</v>
      </c>
      <c r="K26" s="461">
        <v>131209.60999999999</v>
      </c>
      <c r="L26" s="461">
        <v>106186.61</v>
      </c>
      <c r="M26" s="461">
        <v>205505.61</v>
      </c>
      <c r="N26" s="461">
        <v>205505.61</v>
      </c>
      <c r="O26" s="461">
        <v>205505.61</v>
      </c>
      <c r="P26" s="461">
        <v>205505.61</v>
      </c>
      <c r="Q26" s="461">
        <v>205505.61</v>
      </c>
      <c r="R26" s="461">
        <v>205505.61</v>
      </c>
      <c r="S26" s="461">
        <v>205505.61</v>
      </c>
      <c r="T26" s="461">
        <v>205505.61</v>
      </c>
      <c r="U26" s="461">
        <v>205505.61</v>
      </c>
      <c r="V26" s="461">
        <v>205505.61</v>
      </c>
    </row>
    <row r="27" spans="1:22" s="455" customFormat="1" hidden="1">
      <c r="A27" s="455" t="str">
        <f t="shared" si="0"/>
        <v>10001401101000</v>
      </c>
      <c r="B27" s="455" t="str">
        <f>VLOOKUP(LEFT($C$3:$C$2600,3),Table!$D$2:$E$88,2,FALSE)</f>
        <v>Inventories</v>
      </c>
      <c r="C27" s="455" t="str">
        <f t="shared" si="1"/>
        <v>1401101000</v>
      </c>
      <c r="D27" s="455" t="e">
        <f>VLOOKUP(G27,Table!$G$3:$H$21,2,FALSE)</f>
        <v>#N/A</v>
      </c>
      <c r="E27" s="452" t="s">
        <v>840</v>
      </c>
      <c r="F27" s="452" t="s">
        <v>582</v>
      </c>
      <c r="G27" s="452" t="s">
        <v>860</v>
      </c>
      <c r="H27" s="452" t="s">
        <v>66</v>
      </c>
      <c r="I27" s="453" t="s">
        <v>842</v>
      </c>
      <c r="J27" s="453">
        <v>2158665.0699999998</v>
      </c>
      <c r="K27" s="461">
        <v>3930456.03</v>
      </c>
      <c r="L27" s="461">
        <v>2168836.67</v>
      </c>
      <c r="M27" s="461">
        <v>2548486.89</v>
      </c>
      <c r="N27" s="461">
        <v>4449911.54</v>
      </c>
      <c r="O27" s="461">
        <v>4449911.54</v>
      </c>
      <c r="P27" s="461">
        <v>4449911.54</v>
      </c>
      <c r="Q27" s="461">
        <v>4449911.54</v>
      </c>
      <c r="R27" s="461">
        <v>4449911.54</v>
      </c>
      <c r="S27" s="461">
        <v>4449911.54</v>
      </c>
      <c r="T27" s="461">
        <v>4449911.54</v>
      </c>
      <c r="U27" s="461">
        <v>4449911.54</v>
      </c>
      <c r="V27" s="461">
        <v>4449911.54</v>
      </c>
    </row>
    <row r="28" spans="1:22" s="455" customFormat="1" hidden="1">
      <c r="A28" s="455" t="str">
        <f t="shared" si="0"/>
        <v>10001401101200</v>
      </c>
      <c r="B28" s="455" t="str">
        <f>VLOOKUP(LEFT($C$3:$C$2600,3),Table!$D$2:$E$88,2,FALSE)</f>
        <v>Inventories</v>
      </c>
      <c r="C28" s="455" t="str">
        <f t="shared" si="1"/>
        <v>1401101200</v>
      </c>
      <c r="D28" s="455" t="e">
        <f>VLOOKUP(G28,Table!$G$3:$H$21,2,FALSE)</f>
        <v>#N/A</v>
      </c>
      <c r="E28" s="452" t="s">
        <v>840</v>
      </c>
      <c r="F28" s="452" t="s">
        <v>582</v>
      </c>
      <c r="G28" s="452" t="s">
        <v>861</v>
      </c>
      <c r="H28" s="452" t="s">
        <v>68</v>
      </c>
      <c r="I28" s="453" t="s">
        <v>842</v>
      </c>
      <c r="J28" s="453">
        <v>21491575.780000001</v>
      </c>
      <c r="K28" s="461">
        <v>17530963.16</v>
      </c>
      <c r="L28" s="461">
        <v>23719256.600000001</v>
      </c>
      <c r="M28" s="461">
        <v>25997342.850000001</v>
      </c>
      <c r="N28" s="461">
        <v>25997342.850000001</v>
      </c>
      <c r="O28" s="461">
        <v>25997342.850000001</v>
      </c>
      <c r="P28" s="461">
        <v>25997342.850000001</v>
      </c>
      <c r="Q28" s="461">
        <v>25997342.850000001</v>
      </c>
      <c r="R28" s="461">
        <v>25997342.850000001</v>
      </c>
      <c r="S28" s="461">
        <v>25997342.850000001</v>
      </c>
      <c r="T28" s="461">
        <v>25997342.850000001</v>
      </c>
      <c r="U28" s="461">
        <v>25997342.850000001</v>
      </c>
      <c r="V28" s="461">
        <v>25997342.850000001</v>
      </c>
    </row>
    <row r="29" spans="1:22" s="455" customFormat="1" hidden="1">
      <c r="A29" s="455" t="str">
        <f t="shared" si="0"/>
        <v>10001401200000</v>
      </c>
      <c r="B29" s="455" t="str">
        <f>VLOOKUP(LEFT($C$3:$C$2600,3),Table!$D$2:$E$88,2,FALSE)</f>
        <v>Inventories</v>
      </c>
      <c r="C29" s="455" t="str">
        <f t="shared" si="1"/>
        <v>1401200000</v>
      </c>
      <c r="D29" s="455" t="e">
        <f>VLOOKUP(G29,Table!$G$3:$H$21,2,FALSE)</f>
        <v>#N/A</v>
      </c>
      <c r="E29" s="452" t="s">
        <v>840</v>
      </c>
      <c r="F29" s="452" t="s">
        <v>582</v>
      </c>
      <c r="G29" s="452" t="s">
        <v>862</v>
      </c>
      <c r="H29" s="452" t="s">
        <v>69</v>
      </c>
      <c r="I29" s="453" t="s">
        <v>842</v>
      </c>
      <c r="J29" s="453">
        <v>9608164.9499999993</v>
      </c>
      <c r="K29" s="461">
        <v>9473671.7699999996</v>
      </c>
      <c r="L29" s="461">
        <v>8416509.9199999999</v>
      </c>
      <c r="M29" s="461">
        <v>8897817.5299999993</v>
      </c>
      <c r="N29" s="461">
        <v>8897817.5299999993</v>
      </c>
      <c r="O29" s="461">
        <v>8897817.5299999993</v>
      </c>
      <c r="P29" s="461">
        <v>8897817.5299999993</v>
      </c>
      <c r="Q29" s="461">
        <v>8897817.5299999993</v>
      </c>
      <c r="R29" s="461">
        <v>8897817.5299999993</v>
      </c>
      <c r="S29" s="461">
        <v>8897817.5299999993</v>
      </c>
      <c r="T29" s="461">
        <v>8897817.5299999993</v>
      </c>
      <c r="U29" s="461">
        <v>8897817.5299999993</v>
      </c>
      <c r="V29" s="461">
        <v>8897817.5299999993</v>
      </c>
    </row>
    <row r="30" spans="1:22" s="455" customFormat="1" hidden="1">
      <c r="A30" s="455" t="str">
        <f t="shared" si="0"/>
        <v>10001401301000</v>
      </c>
      <c r="B30" s="455" t="str">
        <f>VLOOKUP(LEFT($C$3:$C$2600,3),Table!$D$2:$E$88,2,FALSE)</f>
        <v>Inventories</v>
      </c>
      <c r="C30" s="455" t="str">
        <f t="shared" si="1"/>
        <v>1401301000</v>
      </c>
      <c r="D30" s="455" t="e">
        <f>VLOOKUP(G30,Table!$G$3:$H$21,2,FALSE)</f>
        <v>#N/A</v>
      </c>
      <c r="E30" s="452" t="s">
        <v>840</v>
      </c>
      <c r="F30" s="452" t="s">
        <v>582</v>
      </c>
      <c r="G30" s="452" t="s">
        <v>863</v>
      </c>
      <c r="H30" s="452" t="s">
        <v>73</v>
      </c>
      <c r="I30" s="453" t="s">
        <v>842</v>
      </c>
      <c r="J30" s="453">
        <v>280527.34000000003</v>
      </c>
      <c r="K30" s="461">
        <v>230825.14</v>
      </c>
      <c r="L30" s="461">
        <v>543807.54</v>
      </c>
      <c r="M30" s="461">
        <v>566569.74</v>
      </c>
      <c r="N30" s="461">
        <v>566569.74</v>
      </c>
      <c r="O30" s="461">
        <v>566569.74</v>
      </c>
      <c r="P30" s="461">
        <v>566569.74</v>
      </c>
      <c r="Q30" s="461">
        <v>566569.74</v>
      </c>
      <c r="R30" s="461">
        <v>566569.74</v>
      </c>
      <c r="S30" s="461">
        <v>566569.74</v>
      </c>
      <c r="T30" s="461">
        <v>566569.74</v>
      </c>
      <c r="U30" s="461">
        <v>566569.74</v>
      </c>
      <c r="V30" s="461">
        <v>566569.74</v>
      </c>
    </row>
    <row r="31" spans="1:22" s="455" customFormat="1" hidden="1">
      <c r="A31" s="455" t="str">
        <f t="shared" si="0"/>
        <v>10001401301010</v>
      </c>
      <c r="B31" s="455" t="str">
        <f>VLOOKUP(LEFT($C$3:$C$2600,3),Table!$D$2:$E$88,2,FALSE)</f>
        <v>Inventories</v>
      </c>
      <c r="C31" s="455" t="str">
        <f t="shared" si="1"/>
        <v>1401301010</v>
      </c>
      <c r="D31" s="455" t="e">
        <f>VLOOKUP(G31,Table!$G$3:$H$21,2,FALSE)</f>
        <v>#N/A</v>
      </c>
      <c r="E31" s="452" t="s">
        <v>840</v>
      </c>
      <c r="F31" s="452" t="s">
        <v>582</v>
      </c>
      <c r="G31" s="452" t="s">
        <v>2524</v>
      </c>
      <c r="H31" s="452" t="s">
        <v>666</v>
      </c>
      <c r="I31" s="453" t="s">
        <v>842</v>
      </c>
      <c r="J31" s="453">
        <v>0</v>
      </c>
      <c r="K31" s="461">
        <v>0</v>
      </c>
      <c r="L31" s="461">
        <v>0</v>
      </c>
      <c r="M31" s="461">
        <v>0</v>
      </c>
      <c r="N31" s="461">
        <v>52</v>
      </c>
      <c r="O31" s="461">
        <v>52</v>
      </c>
      <c r="P31" s="461">
        <v>52</v>
      </c>
      <c r="Q31" s="461">
        <v>52</v>
      </c>
      <c r="R31" s="461">
        <v>52</v>
      </c>
      <c r="S31" s="461">
        <v>52</v>
      </c>
      <c r="T31" s="461">
        <v>52</v>
      </c>
      <c r="U31" s="461">
        <v>52</v>
      </c>
      <c r="V31" s="461">
        <v>52</v>
      </c>
    </row>
    <row r="32" spans="1:22" s="455" customFormat="1" hidden="1">
      <c r="A32" s="455" t="str">
        <f t="shared" si="0"/>
        <v>10001401301100</v>
      </c>
      <c r="B32" s="455" t="str">
        <f>VLOOKUP(LEFT($C$3:$C$2600,3),Table!$D$2:$E$88,2,FALSE)</f>
        <v>Inventories</v>
      </c>
      <c r="C32" s="455" t="str">
        <f t="shared" si="1"/>
        <v>1401301100</v>
      </c>
      <c r="D32" s="455" t="e">
        <f>VLOOKUP(G32,Table!$G$3:$H$21,2,FALSE)</f>
        <v>#N/A</v>
      </c>
      <c r="E32" s="452" t="s">
        <v>840</v>
      </c>
      <c r="F32" s="452" t="s">
        <v>582</v>
      </c>
      <c r="G32" s="452" t="s">
        <v>864</v>
      </c>
      <c r="H32" s="452" t="s">
        <v>74</v>
      </c>
      <c r="I32" s="453" t="s">
        <v>842</v>
      </c>
      <c r="J32" s="453">
        <v>24907.01</v>
      </c>
      <c r="K32" s="461">
        <v>26678.58</v>
      </c>
      <c r="L32" s="461">
        <v>26871.62</v>
      </c>
      <c r="M32" s="461">
        <v>39894.43</v>
      </c>
      <c r="N32" s="461">
        <v>39894.43</v>
      </c>
      <c r="O32" s="461">
        <v>39894.43</v>
      </c>
      <c r="P32" s="461">
        <v>39894.43</v>
      </c>
      <c r="Q32" s="461">
        <v>39894.43</v>
      </c>
      <c r="R32" s="461">
        <v>39894.43</v>
      </c>
      <c r="S32" s="461">
        <v>39894.43</v>
      </c>
      <c r="T32" s="461">
        <v>39894.43</v>
      </c>
      <c r="U32" s="461">
        <v>39894.43</v>
      </c>
      <c r="V32" s="461">
        <v>39894.43</v>
      </c>
    </row>
    <row r="33" spans="1:22" s="455" customFormat="1" hidden="1">
      <c r="A33" s="455" t="str">
        <f t="shared" si="0"/>
        <v>10001401301110</v>
      </c>
      <c r="B33" s="455" t="str">
        <f>VLOOKUP(LEFT($C$3:$C$2600,3),Table!$D$2:$E$88,2,FALSE)</f>
        <v>Inventories</v>
      </c>
      <c r="C33" s="455" t="str">
        <f t="shared" si="1"/>
        <v>1401301110</v>
      </c>
      <c r="D33" s="455" t="e">
        <f>VLOOKUP(G33,Table!$G$3:$H$21,2,FALSE)</f>
        <v>#N/A</v>
      </c>
      <c r="E33" s="452" t="s">
        <v>840</v>
      </c>
      <c r="F33" s="452" t="s">
        <v>582</v>
      </c>
      <c r="G33" s="452" t="s">
        <v>2525</v>
      </c>
      <c r="H33" s="452" t="s">
        <v>706</v>
      </c>
      <c r="I33" s="453" t="s">
        <v>842</v>
      </c>
      <c r="J33" s="453">
        <v>0</v>
      </c>
      <c r="K33" s="461">
        <v>0</v>
      </c>
      <c r="L33" s="461">
        <v>0</v>
      </c>
      <c r="M33" s="461">
        <v>0</v>
      </c>
      <c r="N33" s="461">
        <v>-2293.1999999999998</v>
      </c>
      <c r="O33" s="461">
        <v>-2293.1999999999998</v>
      </c>
      <c r="P33" s="461">
        <v>-2293.1999999999998</v>
      </c>
      <c r="Q33" s="461">
        <v>-2293.1999999999998</v>
      </c>
      <c r="R33" s="461">
        <v>-2293.1999999999998</v>
      </c>
      <c r="S33" s="461">
        <v>-2293.1999999999998</v>
      </c>
      <c r="T33" s="461">
        <v>-2293.1999999999998</v>
      </c>
      <c r="U33" s="461">
        <v>-2293.1999999999998</v>
      </c>
      <c r="V33" s="461">
        <v>-2293.1999999999998</v>
      </c>
    </row>
    <row r="34" spans="1:22" s="455" customFormat="1" hidden="1">
      <c r="A34" s="455" t="str">
        <f t="shared" si="0"/>
        <v>10001401301200</v>
      </c>
      <c r="B34" s="455" t="str">
        <f>VLOOKUP(LEFT($C$3:$C$2600,3),Table!$D$2:$E$88,2,FALSE)</f>
        <v>Inventories</v>
      </c>
      <c r="C34" s="455" t="str">
        <f t="shared" si="1"/>
        <v>1401301200</v>
      </c>
      <c r="D34" s="455" t="e">
        <f>VLOOKUP(G34,Table!$G$3:$H$21,2,FALSE)</f>
        <v>#N/A</v>
      </c>
      <c r="E34" s="452" t="s">
        <v>840</v>
      </c>
      <c r="F34" s="452" t="s">
        <v>582</v>
      </c>
      <c r="G34" s="452" t="s">
        <v>865</v>
      </c>
      <c r="H34" s="452" t="s">
        <v>75</v>
      </c>
      <c r="I34" s="453" t="s">
        <v>842</v>
      </c>
      <c r="J34" s="453">
        <v>199805.16</v>
      </c>
      <c r="K34" s="461">
        <v>166771.68</v>
      </c>
      <c r="L34" s="461">
        <v>161580.85999999999</v>
      </c>
      <c r="M34" s="461">
        <v>216286.46</v>
      </c>
      <c r="N34" s="461">
        <v>216286.46</v>
      </c>
      <c r="O34" s="461">
        <v>216286.46</v>
      </c>
      <c r="P34" s="461">
        <v>216286.46</v>
      </c>
      <c r="Q34" s="461">
        <v>216286.46</v>
      </c>
      <c r="R34" s="461">
        <v>216286.46</v>
      </c>
      <c r="S34" s="461">
        <v>216286.46</v>
      </c>
      <c r="T34" s="461">
        <v>216286.46</v>
      </c>
      <c r="U34" s="461">
        <v>216286.46</v>
      </c>
      <c r="V34" s="461">
        <v>216286.46</v>
      </c>
    </row>
    <row r="35" spans="1:22" s="455" customFormat="1" hidden="1">
      <c r="A35" s="455" t="str">
        <f t="shared" si="0"/>
        <v>10001401301210</v>
      </c>
      <c r="B35" s="455" t="str">
        <f>VLOOKUP(LEFT($C$3:$C$2600,3),Table!$D$2:$E$88,2,FALSE)</f>
        <v>Inventories</v>
      </c>
      <c r="C35" s="455" t="str">
        <f t="shared" si="1"/>
        <v>1401301210</v>
      </c>
      <c r="D35" s="455" t="e">
        <f>VLOOKUP(G35,Table!$G$3:$H$21,2,FALSE)</f>
        <v>#N/A</v>
      </c>
      <c r="E35" s="452" t="s">
        <v>840</v>
      </c>
      <c r="F35" s="452" t="s">
        <v>582</v>
      </c>
      <c r="G35" s="452" t="s">
        <v>866</v>
      </c>
      <c r="H35" s="452" t="s">
        <v>707</v>
      </c>
      <c r="I35" s="453" t="s">
        <v>842</v>
      </c>
      <c r="J35" s="453">
        <v>0</v>
      </c>
      <c r="K35" s="461">
        <v>0</v>
      </c>
      <c r="L35" s="461">
        <v>0</v>
      </c>
      <c r="M35" s="461">
        <v>0</v>
      </c>
      <c r="N35" s="461">
        <v>-150</v>
      </c>
      <c r="O35" s="461">
        <v>-150</v>
      </c>
      <c r="P35" s="461">
        <v>-150</v>
      </c>
      <c r="Q35" s="461">
        <v>-150</v>
      </c>
      <c r="R35" s="461">
        <v>-150</v>
      </c>
      <c r="S35" s="461">
        <v>-150</v>
      </c>
      <c r="T35" s="461">
        <v>-150</v>
      </c>
      <c r="U35" s="461">
        <v>-150</v>
      </c>
      <c r="V35" s="461">
        <v>-150</v>
      </c>
    </row>
    <row r="36" spans="1:22" s="455" customFormat="1" hidden="1">
      <c r="A36" s="455" t="str">
        <f t="shared" si="0"/>
        <v>10001401301500</v>
      </c>
      <c r="B36" s="455" t="str">
        <f>VLOOKUP(LEFT($C$3:$C$2600,3),Table!$D$2:$E$88,2,FALSE)</f>
        <v>Inventories</v>
      </c>
      <c r="C36" s="455" t="str">
        <f t="shared" si="1"/>
        <v>1401301500</v>
      </c>
      <c r="D36" s="455" t="e">
        <f>VLOOKUP(G36,Table!$G$3:$H$21,2,FALSE)</f>
        <v>#N/A</v>
      </c>
      <c r="E36" s="452" t="s">
        <v>840</v>
      </c>
      <c r="F36" s="452" t="s">
        <v>582</v>
      </c>
      <c r="G36" s="452" t="s">
        <v>867</v>
      </c>
      <c r="H36" s="452" t="s">
        <v>76</v>
      </c>
      <c r="I36" s="453" t="s">
        <v>842</v>
      </c>
      <c r="J36" s="453">
        <v>8436893.8000000007</v>
      </c>
      <c r="K36" s="461">
        <v>8426950.0500000007</v>
      </c>
      <c r="L36" s="461">
        <v>8728651.8800000008</v>
      </c>
      <c r="M36" s="461">
        <v>8799440.8100000005</v>
      </c>
      <c r="N36" s="461">
        <v>8799440.8100000005</v>
      </c>
      <c r="O36" s="461">
        <v>8799440.8100000005</v>
      </c>
      <c r="P36" s="461">
        <v>8799440.8100000005</v>
      </c>
      <c r="Q36" s="461">
        <v>8799440.8100000005</v>
      </c>
      <c r="R36" s="461">
        <v>8799440.8100000005</v>
      </c>
      <c r="S36" s="461">
        <v>8799440.8100000005</v>
      </c>
      <c r="T36" s="461">
        <v>8799440.8100000005</v>
      </c>
      <c r="U36" s="461">
        <v>8799440.8100000005</v>
      </c>
      <c r="V36" s="461">
        <v>8799440.8100000005</v>
      </c>
    </row>
    <row r="37" spans="1:22" s="455" customFormat="1" hidden="1">
      <c r="A37" s="455" t="str">
        <f t="shared" si="0"/>
        <v>10001401301510</v>
      </c>
      <c r="B37" s="455" t="str">
        <f>VLOOKUP(LEFT($C$3:$C$2600,3),Table!$D$2:$E$88,2,FALSE)</f>
        <v>Inventories</v>
      </c>
      <c r="C37" s="455" t="str">
        <f t="shared" si="1"/>
        <v>1401301510</v>
      </c>
      <c r="D37" s="455" t="e">
        <f>VLOOKUP(G37,Table!$G$3:$H$21,2,FALSE)</f>
        <v>#N/A</v>
      </c>
      <c r="E37" s="452" t="s">
        <v>840</v>
      </c>
      <c r="F37" s="452" t="s">
        <v>582</v>
      </c>
      <c r="G37" s="452" t="s">
        <v>2526</v>
      </c>
      <c r="H37" s="452" t="s">
        <v>708</v>
      </c>
      <c r="I37" s="453" t="s">
        <v>842</v>
      </c>
      <c r="J37" s="453">
        <v>0</v>
      </c>
      <c r="K37" s="461">
        <v>0</v>
      </c>
      <c r="L37" s="461">
        <v>0</v>
      </c>
      <c r="M37" s="461">
        <v>0</v>
      </c>
      <c r="N37" s="461">
        <v>13156.64</v>
      </c>
      <c r="O37" s="461">
        <v>13156.64</v>
      </c>
      <c r="P37" s="461">
        <v>13156.64</v>
      </c>
      <c r="Q37" s="461">
        <v>13156.64</v>
      </c>
      <c r="R37" s="461">
        <v>13156.64</v>
      </c>
      <c r="S37" s="461">
        <v>13156.64</v>
      </c>
      <c r="T37" s="461">
        <v>13156.64</v>
      </c>
      <c r="U37" s="461">
        <v>13156.64</v>
      </c>
      <c r="V37" s="461">
        <v>13156.64</v>
      </c>
    </row>
    <row r="38" spans="1:22" s="455" customFormat="1" hidden="1">
      <c r="A38" s="455" t="str">
        <f t="shared" si="0"/>
        <v>10001401301600</v>
      </c>
      <c r="B38" s="455" t="str">
        <f>VLOOKUP(LEFT($C$3:$C$2600,3),Table!$D$2:$E$88,2,FALSE)</f>
        <v>Inventories</v>
      </c>
      <c r="C38" s="455" t="str">
        <f t="shared" si="1"/>
        <v>1401301600</v>
      </c>
      <c r="D38" s="455" t="e">
        <f>VLOOKUP(G38,Table!$G$3:$H$21,2,FALSE)</f>
        <v>#N/A</v>
      </c>
      <c r="E38" s="452" t="s">
        <v>840</v>
      </c>
      <c r="F38" s="452" t="s">
        <v>582</v>
      </c>
      <c r="G38" s="452" t="s">
        <v>868</v>
      </c>
      <c r="H38" s="452" t="s">
        <v>77</v>
      </c>
      <c r="I38" s="453" t="s">
        <v>842</v>
      </c>
      <c r="J38" s="453">
        <v>883263.33</v>
      </c>
      <c r="K38" s="461">
        <v>806799.28</v>
      </c>
      <c r="L38" s="461">
        <v>875593.57</v>
      </c>
      <c r="M38" s="461">
        <v>881741.83</v>
      </c>
      <c r="N38" s="461">
        <v>881741.83</v>
      </c>
      <c r="O38" s="461">
        <v>881741.83</v>
      </c>
      <c r="P38" s="461">
        <v>881741.83</v>
      </c>
      <c r="Q38" s="461">
        <v>881741.83</v>
      </c>
      <c r="R38" s="461">
        <v>881741.83</v>
      </c>
      <c r="S38" s="461">
        <v>881741.83</v>
      </c>
      <c r="T38" s="461">
        <v>881741.83</v>
      </c>
      <c r="U38" s="461">
        <v>881741.83</v>
      </c>
      <c r="V38" s="461">
        <v>881741.83</v>
      </c>
    </row>
    <row r="39" spans="1:22" s="455" customFormat="1" hidden="1">
      <c r="A39" s="455" t="str">
        <f t="shared" si="0"/>
        <v>10001401301610</v>
      </c>
      <c r="B39" s="455" t="str">
        <f>VLOOKUP(LEFT($C$3:$C$2600,3),Table!$D$2:$E$88,2,FALSE)</f>
        <v>Inventories</v>
      </c>
      <c r="C39" s="455" t="str">
        <f t="shared" si="1"/>
        <v>1401301610</v>
      </c>
      <c r="D39" s="455" t="e">
        <f>VLOOKUP(G39,Table!$G$3:$H$21,2,FALSE)</f>
        <v>#N/A</v>
      </c>
      <c r="E39" s="452" t="s">
        <v>840</v>
      </c>
      <c r="F39" s="452" t="s">
        <v>582</v>
      </c>
      <c r="G39" s="452" t="s">
        <v>2527</v>
      </c>
      <c r="H39" s="452" t="s">
        <v>684</v>
      </c>
      <c r="I39" s="453" t="s">
        <v>842</v>
      </c>
      <c r="J39" s="453">
        <v>0</v>
      </c>
      <c r="K39" s="461">
        <v>0</v>
      </c>
      <c r="L39" s="461">
        <v>0</v>
      </c>
      <c r="M39" s="461">
        <v>0</v>
      </c>
      <c r="N39" s="461">
        <v>425.2</v>
      </c>
      <c r="O39" s="461">
        <v>425.2</v>
      </c>
      <c r="P39" s="461">
        <v>425.2</v>
      </c>
      <c r="Q39" s="461">
        <v>425.2</v>
      </c>
      <c r="R39" s="461">
        <v>425.2</v>
      </c>
      <c r="S39" s="461">
        <v>425.2</v>
      </c>
      <c r="T39" s="461">
        <v>425.2</v>
      </c>
      <c r="U39" s="461">
        <v>425.2</v>
      </c>
      <c r="V39" s="461">
        <v>425.2</v>
      </c>
    </row>
    <row r="40" spans="1:22" s="455" customFormat="1" hidden="1">
      <c r="A40" s="455" t="str">
        <f t="shared" si="0"/>
        <v>10001401301700</v>
      </c>
      <c r="B40" s="455" t="str">
        <f>VLOOKUP(LEFT($C$3:$C$2600,3),Table!$D$2:$E$88,2,FALSE)</f>
        <v>Inventories</v>
      </c>
      <c r="C40" s="455" t="str">
        <f t="shared" si="1"/>
        <v>1401301700</v>
      </c>
      <c r="D40" s="455" t="e">
        <f>VLOOKUP(G40,Table!$G$3:$H$21,2,FALSE)</f>
        <v>#N/A</v>
      </c>
      <c r="E40" s="452" t="s">
        <v>840</v>
      </c>
      <c r="F40" s="452" t="s">
        <v>582</v>
      </c>
      <c r="G40" s="452" t="s">
        <v>869</v>
      </c>
      <c r="H40" s="452" t="s">
        <v>78</v>
      </c>
      <c r="I40" s="453" t="s">
        <v>842</v>
      </c>
      <c r="J40" s="453">
        <v>3344208.72</v>
      </c>
      <c r="K40" s="461">
        <v>3416630.79</v>
      </c>
      <c r="L40" s="461">
        <v>3270802.13</v>
      </c>
      <c r="M40" s="461">
        <v>3157875.39</v>
      </c>
      <c r="N40" s="461">
        <v>3157875.39</v>
      </c>
      <c r="O40" s="461">
        <v>3157875.39</v>
      </c>
      <c r="P40" s="461">
        <v>3157875.39</v>
      </c>
      <c r="Q40" s="461">
        <v>3157875.39</v>
      </c>
      <c r="R40" s="461">
        <v>3157875.39</v>
      </c>
      <c r="S40" s="461">
        <v>3157875.39</v>
      </c>
      <c r="T40" s="461">
        <v>3157875.39</v>
      </c>
      <c r="U40" s="461">
        <v>3157875.39</v>
      </c>
      <c r="V40" s="461">
        <v>3157875.39</v>
      </c>
    </row>
    <row r="41" spans="1:22" s="455" customFormat="1" hidden="1">
      <c r="A41" s="455" t="str">
        <f t="shared" si="0"/>
        <v>10001401302000</v>
      </c>
      <c r="B41" s="455" t="str">
        <f>VLOOKUP(LEFT($C$3:$C$2600,3),Table!$D$2:$E$88,2,FALSE)</f>
        <v>Inventories</v>
      </c>
      <c r="C41" s="455" t="str">
        <f t="shared" si="1"/>
        <v>1401302000</v>
      </c>
      <c r="D41" s="455" t="e">
        <f>VLOOKUP(G41,Table!$G$3:$H$21,2,FALSE)</f>
        <v>#N/A</v>
      </c>
      <c r="E41" s="452" t="s">
        <v>840</v>
      </c>
      <c r="F41" s="452" t="s">
        <v>582</v>
      </c>
      <c r="G41" s="452" t="s">
        <v>870</v>
      </c>
      <c r="H41" s="452" t="s">
        <v>79</v>
      </c>
      <c r="I41" s="453" t="s">
        <v>842</v>
      </c>
      <c r="J41" s="453">
        <v>486445.1</v>
      </c>
      <c r="K41" s="461">
        <v>469550.9</v>
      </c>
      <c r="L41" s="461">
        <v>462046.5</v>
      </c>
      <c r="M41" s="461">
        <v>460023.5</v>
      </c>
      <c r="N41" s="461">
        <v>460023.5</v>
      </c>
      <c r="O41" s="461">
        <v>460023.5</v>
      </c>
      <c r="P41" s="461">
        <v>460023.5</v>
      </c>
      <c r="Q41" s="461">
        <v>460023.5</v>
      </c>
      <c r="R41" s="461">
        <v>460023.5</v>
      </c>
      <c r="S41" s="461">
        <v>460023.5</v>
      </c>
      <c r="T41" s="461">
        <v>460023.5</v>
      </c>
      <c r="U41" s="461">
        <v>460023.5</v>
      </c>
      <c r="V41" s="461">
        <v>460023.5</v>
      </c>
    </row>
    <row r="42" spans="1:22" s="455" customFormat="1" hidden="1">
      <c r="A42" s="455" t="str">
        <f t="shared" si="0"/>
        <v>10001401303000</v>
      </c>
      <c r="B42" s="455" t="str">
        <f>VLOOKUP(LEFT($C$3:$C$2600,3),Table!$D$2:$E$88,2,FALSE)</f>
        <v>Inventories</v>
      </c>
      <c r="C42" s="455" t="str">
        <f t="shared" si="1"/>
        <v>1401303000</v>
      </c>
      <c r="D42" s="455" t="e">
        <f>VLOOKUP(G42,Table!$G$3:$H$21,2,FALSE)</f>
        <v>#N/A</v>
      </c>
      <c r="E42" s="452" t="s">
        <v>840</v>
      </c>
      <c r="F42" s="452" t="s">
        <v>582</v>
      </c>
      <c r="G42" s="452" t="s">
        <v>871</v>
      </c>
      <c r="H42" s="452" t="s">
        <v>80</v>
      </c>
      <c r="I42" s="453" t="s">
        <v>842</v>
      </c>
      <c r="J42" s="453">
        <v>6390</v>
      </c>
      <c r="K42" s="461">
        <v>6390</v>
      </c>
      <c r="L42" s="461">
        <v>2940</v>
      </c>
      <c r="M42" s="461">
        <v>6840</v>
      </c>
      <c r="N42" s="461">
        <v>6840</v>
      </c>
      <c r="O42" s="461">
        <v>6840</v>
      </c>
      <c r="P42" s="461">
        <v>6840</v>
      </c>
      <c r="Q42" s="461">
        <v>6840</v>
      </c>
      <c r="R42" s="461">
        <v>6840</v>
      </c>
      <c r="S42" s="461">
        <v>6840</v>
      </c>
      <c r="T42" s="461">
        <v>6840</v>
      </c>
      <c r="U42" s="461">
        <v>6840</v>
      </c>
      <c r="V42" s="461">
        <v>6840</v>
      </c>
    </row>
    <row r="43" spans="1:22" s="455" customFormat="1" hidden="1">
      <c r="A43" s="455" t="str">
        <f t="shared" si="0"/>
        <v>10001401305000</v>
      </c>
      <c r="B43" s="455" t="str">
        <f>VLOOKUP(LEFT($C$3:$C$2600,3),Table!$D$2:$E$88,2,FALSE)</f>
        <v>Inventories</v>
      </c>
      <c r="C43" s="455" t="str">
        <f t="shared" si="1"/>
        <v>1401305000</v>
      </c>
      <c r="D43" s="455" t="e">
        <f>VLOOKUP(G43,Table!$G$3:$H$21,2,FALSE)</f>
        <v>#N/A</v>
      </c>
      <c r="E43" s="452" t="s">
        <v>840</v>
      </c>
      <c r="F43" s="452" t="s">
        <v>582</v>
      </c>
      <c r="G43" s="452" t="s">
        <v>872</v>
      </c>
      <c r="H43" s="452" t="s">
        <v>81</v>
      </c>
      <c r="I43" s="453" t="s">
        <v>842</v>
      </c>
      <c r="J43" s="453">
        <v>637675.6</v>
      </c>
      <c r="K43" s="461">
        <v>617676.53</v>
      </c>
      <c r="L43" s="461">
        <v>602787.4</v>
      </c>
      <c r="M43" s="461">
        <v>621641.96</v>
      </c>
      <c r="N43" s="461">
        <v>621641.96</v>
      </c>
      <c r="O43" s="461">
        <v>621641.96</v>
      </c>
      <c r="P43" s="461">
        <v>621641.96</v>
      </c>
      <c r="Q43" s="461">
        <v>621641.96</v>
      </c>
      <c r="R43" s="461">
        <v>621641.96</v>
      </c>
      <c r="S43" s="461">
        <v>621641.96</v>
      </c>
      <c r="T43" s="461">
        <v>621641.96</v>
      </c>
      <c r="U43" s="461">
        <v>621641.96</v>
      </c>
      <c r="V43" s="461">
        <v>621641.96</v>
      </c>
    </row>
    <row r="44" spans="1:22" s="455" customFormat="1" hidden="1">
      <c r="A44" s="455" t="str">
        <f t="shared" si="0"/>
        <v>10001401305010</v>
      </c>
      <c r="B44" s="455" t="str">
        <f>VLOOKUP(LEFT($C$3:$C$2600,3),Table!$D$2:$E$88,2,FALSE)</f>
        <v>Inventories</v>
      </c>
      <c r="C44" s="455" t="str">
        <f t="shared" si="1"/>
        <v>1401305010</v>
      </c>
      <c r="D44" s="455" t="e">
        <f>VLOOKUP(G44,Table!$G$3:$H$21,2,FALSE)</f>
        <v>#N/A</v>
      </c>
      <c r="E44" s="452" t="s">
        <v>840</v>
      </c>
      <c r="F44" s="452" t="s">
        <v>582</v>
      </c>
      <c r="G44" s="452" t="s">
        <v>2528</v>
      </c>
      <c r="H44" s="452" t="s">
        <v>711</v>
      </c>
      <c r="I44" s="453" t="s">
        <v>842</v>
      </c>
      <c r="J44" s="453">
        <v>0</v>
      </c>
      <c r="K44" s="461">
        <v>0</v>
      </c>
      <c r="L44" s="461">
        <v>0</v>
      </c>
      <c r="M44" s="461">
        <v>0</v>
      </c>
      <c r="N44" s="461">
        <v>-75</v>
      </c>
      <c r="O44" s="461">
        <v>-75</v>
      </c>
      <c r="P44" s="461">
        <v>-75</v>
      </c>
      <c r="Q44" s="461">
        <v>-75</v>
      </c>
      <c r="R44" s="461">
        <v>-75</v>
      </c>
      <c r="S44" s="461">
        <v>-75</v>
      </c>
      <c r="T44" s="461">
        <v>-75</v>
      </c>
      <c r="U44" s="461">
        <v>-75</v>
      </c>
      <c r="V44" s="461">
        <v>-75</v>
      </c>
    </row>
    <row r="45" spans="1:22" s="455" customFormat="1" hidden="1">
      <c r="A45" s="455" t="str">
        <f t="shared" si="0"/>
        <v>10001451001100</v>
      </c>
      <c r="B45" s="455" t="str">
        <f>VLOOKUP(LEFT($C$3:$C$2600,3),Table!$D$2:$E$88,2,FALSE)</f>
        <v>Inventories</v>
      </c>
      <c r="C45" s="455" t="str">
        <f t="shared" si="1"/>
        <v>1451001100</v>
      </c>
      <c r="D45" s="455" t="e">
        <f>VLOOKUP(G45,Table!$G$3:$H$21,2,FALSE)</f>
        <v>#N/A</v>
      </c>
      <c r="E45" s="452" t="s">
        <v>840</v>
      </c>
      <c r="F45" s="452" t="s">
        <v>582</v>
      </c>
      <c r="G45" s="452" t="s">
        <v>873</v>
      </c>
      <c r="H45" s="452" t="s">
        <v>82</v>
      </c>
      <c r="I45" s="453" t="s">
        <v>842</v>
      </c>
      <c r="J45" s="453">
        <v>-4628000</v>
      </c>
      <c r="K45" s="461">
        <v>-4628000</v>
      </c>
      <c r="L45" s="461">
        <v>-4656000</v>
      </c>
      <c r="M45" s="461">
        <v>-4656000</v>
      </c>
      <c r="N45" s="461">
        <v>-4656000</v>
      </c>
      <c r="O45" s="461">
        <v>-4656000</v>
      </c>
      <c r="P45" s="461">
        <v>-4656000</v>
      </c>
      <c r="Q45" s="461">
        <v>-4656000</v>
      </c>
      <c r="R45" s="461">
        <v>-4656000</v>
      </c>
      <c r="S45" s="461">
        <v>-4656000</v>
      </c>
      <c r="T45" s="461">
        <v>-4656000</v>
      </c>
      <c r="U45" s="461">
        <v>-4656000</v>
      </c>
      <c r="V45" s="461">
        <v>-4656000</v>
      </c>
    </row>
    <row r="46" spans="1:22" s="455" customFormat="1" hidden="1">
      <c r="A46" s="455" t="str">
        <f t="shared" si="0"/>
        <v>10001451001101</v>
      </c>
      <c r="B46" s="455" t="str">
        <f>VLOOKUP(LEFT($C$3:$C$2600,3),Table!$D$2:$E$88,2,FALSE)</f>
        <v>Inventories</v>
      </c>
      <c r="C46" s="455" t="str">
        <f t="shared" si="1"/>
        <v>1451001101</v>
      </c>
      <c r="D46" s="455" t="e">
        <f>VLOOKUP(G46,Table!$G$3:$H$21,2,FALSE)</f>
        <v>#N/A</v>
      </c>
      <c r="E46" s="452" t="s">
        <v>840</v>
      </c>
      <c r="F46" s="452" t="s">
        <v>582</v>
      </c>
      <c r="G46" s="452" t="s">
        <v>874</v>
      </c>
      <c r="H46" s="452" t="s">
        <v>631</v>
      </c>
      <c r="I46" s="453" t="s">
        <v>842</v>
      </c>
      <c r="J46" s="453">
        <v>-216000</v>
      </c>
      <c r="K46" s="461">
        <v>-216000</v>
      </c>
      <c r="L46" s="461">
        <v>-165000</v>
      </c>
      <c r="M46" s="461">
        <v>-165000</v>
      </c>
      <c r="N46" s="461">
        <v>-165000</v>
      </c>
      <c r="O46" s="461">
        <v>-165000</v>
      </c>
      <c r="P46" s="461">
        <v>-165000</v>
      </c>
      <c r="Q46" s="461">
        <v>-165000</v>
      </c>
      <c r="R46" s="461">
        <v>-165000</v>
      </c>
      <c r="S46" s="461">
        <v>-165000</v>
      </c>
      <c r="T46" s="461">
        <v>-165000</v>
      </c>
      <c r="U46" s="461">
        <v>-165000</v>
      </c>
      <c r="V46" s="461">
        <v>-165000</v>
      </c>
    </row>
    <row r="47" spans="1:22" s="455" customFormat="1" hidden="1">
      <c r="A47" s="455" t="str">
        <f t="shared" si="0"/>
        <v>10001451001102</v>
      </c>
      <c r="B47" s="455" t="str">
        <f>VLOOKUP(LEFT($C$3:$C$2600,3),Table!$D$2:$E$88,2,FALSE)</f>
        <v>Inventories</v>
      </c>
      <c r="C47" s="455" t="str">
        <f t="shared" si="1"/>
        <v>1451001102</v>
      </c>
      <c r="D47" s="455" t="e">
        <f>VLOOKUP(G47,Table!$G$3:$H$21,2,FALSE)</f>
        <v>#N/A</v>
      </c>
      <c r="E47" s="452" t="s">
        <v>840</v>
      </c>
      <c r="F47" s="452" t="s">
        <v>582</v>
      </c>
      <c r="G47" s="452" t="s">
        <v>875</v>
      </c>
      <c r="H47" s="452" t="s">
        <v>70</v>
      </c>
      <c r="I47" s="453" t="s">
        <v>842</v>
      </c>
      <c r="J47" s="453">
        <v>-312000</v>
      </c>
      <c r="K47" s="461">
        <v>-312000</v>
      </c>
      <c r="L47" s="461">
        <v>-135000</v>
      </c>
      <c r="M47" s="461">
        <v>-135000</v>
      </c>
      <c r="N47" s="461">
        <v>-135000</v>
      </c>
      <c r="O47" s="461">
        <v>-135000</v>
      </c>
      <c r="P47" s="461">
        <v>-135000</v>
      </c>
      <c r="Q47" s="461">
        <v>-135000</v>
      </c>
      <c r="R47" s="461">
        <v>-135000</v>
      </c>
      <c r="S47" s="461">
        <v>-135000</v>
      </c>
      <c r="T47" s="461">
        <v>-135000</v>
      </c>
      <c r="U47" s="461">
        <v>-135000</v>
      </c>
      <c r="V47" s="461">
        <v>-135000</v>
      </c>
    </row>
    <row r="48" spans="1:22" s="455" customFormat="1" hidden="1">
      <c r="A48" s="455" t="str">
        <f t="shared" si="0"/>
        <v>10002001701010</v>
      </c>
      <c r="B48" s="455" t="str">
        <f>VLOOKUP(LEFT($C$3:$C$2600,3),Table!$D$2:$E$88,2,FALSE)</f>
        <v>Accounts payable</v>
      </c>
      <c r="C48" s="455" t="str">
        <f t="shared" si="1"/>
        <v>2001701010</v>
      </c>
      <c r="D48" s="455" t="e">
        <f>VLOOKUP(G48,Table!$G$3:$H$21,2,FALSE)</f>
        <v>#N/A</v>
      </c>
      <c r="E48" s="452" t="s">
        <v>840</v>
      </c>
      <c r="F48" s="452" t="s">
        <v>582</v>
      </c>
      <c r="G48" s="452" t="s">
        <v>876</v>
      </c>
      <c r="H48" s="452" t="s">
        <v>144</v>
      </c>
      <c r="I48" s="453" t="s">
        <v>842</v>
      </c>
      <c r="J48" s="453">
        <v>0</v>
      </c>
      <c r="K48" s="461">
        <v>0</v>
      </c>
      <c r="L48" s="461">
        <v>-783170.2</v>
      </c>
      <c r="M48" s="461">
        <v>-854007.69</v>
      </c>
      <c r="N48" s="461">
        <v>1745.06</v>
      </c>
      <c r="O48" s="461">
        <v>1745.06</v>
      </c>
      <c r="P48" s="461">
        <v>1745.06</v>
      </c>
      <c r="Q48" s="461">
        <v>1745.06</v>
      </c>
      <c r="R48" s="461">
        <v>1745.06</v>
      </c>
      <c r="S48" s="461">
        <v>1745.06</v>
      </c>
      <c r="T48" s="461">
        <v>1745.06</v>
      </c>
      <c r="U48" s="461">
        <v>1745.06</v>
      </c>
      <c r="V48" s="461">
        <v>1745.06</v>
      </c>
    </row>
    <row r="49" spans="1:22" s="455" customFormat="1" hidden="1">
      <c r="A49" s="455" t="str">
        <f t="shared" si="0"/>
        <v>10002001701210</v>
      </c>
      <c r="B49" s="455" t="str">
        <f>VLOOKUP(LEFT($C$3:$C$2600,3),Table!$D$2:$E$88,2,FALSE)</f>
        <v>Accounts payable</v>
      </c>
      <c r="C49" s="455" t="str">
        <f t="shared" si="1"/>
        <v>2001701210</v>
      </c>
      <c r="D49" s="455" t="e">
        <f>VLOOKUP(G49,Table!$G$3:$H$21,2,FALSE)</f>
        <v>#N/A</v>
      </c>
      <c r="E49" s="452" t="s">
        <v>840</v>
      </c>
      <c r="F49" s="452" t="s">
        <v>582</v>
      </c>
      <c r="G49" s="452" t="s">
        <v>877</v>
      </c>
      <c r="H49" s="452" t="s">
        <v>145</v>
      </c>
      <c r="I49" s="453" t="s">
        <v>842</v>
      </c>
      <c r="J49" s="453">
        <v>-11437.17</v>
      </c>
      <c r="K49" s="461">
        <v>-11437.17</v>
      </c>
      <c r="L49" s="461">
        <v>-11437.17</v>
      </c>
      <c r="M49" s="461">
        <v>-54954.04</v>
      </c>
      <c r="N49" s="461">
        <v>-11437.17</v>
      </c>
      <c r="O49" s="461">
        <v>-11437.17</v>
      </c>
      <c r="P49" s="461">
        <v>-11437.17</v>
      </c>
      <c r="Q49" s="461">
        <v>-11437.17</v>
      </c>
      <c r="R49" s="461">
        <v>-11437.17</v>
      </c>
      <c r="S49" s="461">
        <v>-11437.17</v>
      </c>
      <c r="T49" s="461">
        <v>-11437.17</v>
      </c>
      <c r="U49" s="461">
        <v>-11437.17</v>
      </c>
      <c r="V49" s="461">
        <v>-11437.17</v>
      </c>
    </row>
    <row r="50" spans="1:22" s="455" customFormat="1" hidden="1">
      <c r="A50" s="455" t="str">
        <f t="shared" si="0"/>
        <v>10002001701310</v>
      </c>
      <c r="B50" s="455" t="str">
        <f>VLOOKUP(LEFT($C$3:$C$2600,3),Table!$D$2:$E$88,2,FALSE)</f>
        <v>Accounts payable</v>
      </c>
      <c r="C50" s="455" t="str">
        <f t="shared" si="1"/>
        <v>2001701310</v>
      </c>
      <c r="D50" s="455" t="e">
        <f>VLOOKUP(G50,Table!$G$3:$H$21,2,FALSE)</f>
        <v>#N/A</v>
      </c>
      <c r="E50" s="452" t="s">
        <v>840</v>
      </c>
      <c r="F50" s="452" t="s">
        <v>582</v>
      </c>
      <c r="G50" s="452" t="s">
        <v>878</v>
      </c>
      <c r="H50" s="452" t="s">
        <v>146</v>
      </c>
      <c r="I50" s="453" t="s">
        <v>842</v>
      </c>
      <c r="J50" s="453">
        <v>-4000</v>
      </c>
      <c r="K50" s="461">
        <v>-4000</v>
      </c>
      <c r="L50" s="461">
        <v>-4000</v>
      </c>
      <c r="M50" s="461">
        <v>-4000</v>
      </c>
      <c r="N50" s="461">
        <v>-4000</v>
      </c>
      <c r="O50" s="461">
        <v>-4000</v>
      </c>
      <c r="P50" s="461">
        <v>-4000</v>
      </c>
      <c r="Q50" s="461">
        <v>-4000</v>
      </c>
      <c r="R50" s="461">
        <v>-4000</v>
      </c>
      <c r="S50" s="461">
        <v>-4000</v>
      </c>
      <c r="T50" s="461">
        <v>-4000</v>
      </c>
      <c r="U50" s="461">
        <v>-4000</v>
      </c>
      <c r="V50" s="461">
        <v>-4000</v>
      </c>
    </row>
    <row r="51" spans="1:22" s="455" customFormat="1" hidden="1">
      <c r="A51" s="455" t="str">
        <f t="shared" si="0"/>
        <v>10002001701410</v>
      </c>
      <c r="B51" s="455" t="str">
        <f>VLOOKUP(LEFT($C$3:$C$2600,3),Table!$D$2:$E$88,2,FALSE)</f>
        <v>Accounts payable</v>
      </c>
      <c r="C51" s="455" t="str">
        <f t="shared" si="1"/>
        <v>2001701410</v>
      </c>
      <c r="D51" s="455" t="e">
        <f>VLOOKUP(G51,Table!$G$3:$H$21,2,FALSE)</f>
        <v>#N/A</v>
      </c>
      <c r="E51" s="452" t="s">
        <v>840</v>
      </c>
      <c r="F51" s="452" t="s">
        <v>582</v>
      </c>
      <c r="G51" s="452" t="s">
        <v>879</v>
      </c>
      <c r="H51" s="452" t="s">
        <v>147</v>
      </c>
      <c r="I51" s="453" t="s">
        <v>842</v>
      </c>
      <c r="J51" s="453">
        <v>0</v>
      </c>
      <c r="K51" s="461">
        <v>-10838</v>
      </c>
      <c r="L51" s="461">
        <v>0</v>
      </c>
      <c r="M51" s="461">
        <v>0</v>
      </c>
      <c r="N51" s="461">
        <v>0</v>
      </c>
      <c r="O51" s="461">
        <v>0</v>
      </c>
      <c r="P51" s="461">
        <v>0</v>
      </c>
      <c r="Q51" s="461">
        <v>0</v>
      </c>
      <c r="R51" s="461">
        <v>0</v>
      </c>
      <c r="S51" s="461">
        <v>0</v>
      </c>
      <c r="T51" s="461">
        <v>0</v>
      </c>
      <c r="U51" s="461">
        <v>0</v>
      </c>
      <c r="V51" s="461">
        <v>0</v>
      </c>
    </row>
    <row r="52" spans="1:22" s="455" customFormat="1" hidden="1">
      <c r="A52" s="455" t="str">
        <f t="shared" si="0"/>
        <v>10002001701511</v>
      </c>
      <c r="B52" s="455" t="str">
        <f>VLOOKUP(LEFT($C$3:$C$2600,3),Table!$D$2:$E$88,2,FALSE)</f>
        <v>Accounts payable</v>
      </c>
      <c r="C52" s="455" t="str">
        <f t="shared" si="1"/>
        <v>2001701511</v>
      </c>
      <c r="D52" s="455" t="e">
        <f>VLOOKUP(G52,Table!$G$3:$H$21,2,FALSE)</f>
        <v>#N/A</v>
      </c>
      <c r="E52" s="452" t="s">
        <v>840</v>
      </c>
      <c r="F52" s="452" t="s">
        <v>582</v>
      </c>
      <c r="G52" s="452" t="s">
        <v>880</v>
      </c>
      <c r="H52" s="452" t="s">
        <v>148</v>
      </c>
      <c r="I52" s="453" t="s">
        <v>842</v>
      </c>
      <c r="J52" s="453">
        <v>-16066</v>
      </c>
      <c r="K52" s="461">
        <v>-22175.81</v>
      </c>
      <c r="L52" s="461">
        <v>-29528.1</v>
      </c>
      <c r="M52" s="461">
        <v>-38417.25</v>
      </c>
      <c r="N52" s="461">
        <v>-24117.25</v>
      </c>
      <c r="O52" s="461">
        <v>-24117.25</v>
      </c>
      <c r="P52" s="461">
        <v>-24117.25</v>
      </c>
      <c r="Q52" s="461">
        <v>-24117.25</v>
      </c>
      <c r="R52" s="461">
        <v>-24117.25</v>
      </c>
      <c r="S52" s="461">
        <v>-24117.25</v>
      </c>
      <c r="T52" s="461">
        <v>-24117.25</v>
      </c>
      <c r="U52" s="461">
        <v>-24117.25</v>
      </c>
      <c r="V52" s="461">
        <v>-24117.25</v>
      </c>
    </row>
    <row r="53" spans="1:22" s="455" customFormat="1" hidden="1">
      <c r="A53" s="455" t="str">
        <f t="shared" si="0"/>
        <v>10002031202800</v>
      </c>
      <c r="B53" s="455" t="str">
        <f>VLOOKUP(LEFT($C$3:$C$2600,3),Table!$D$2:$E$88,2,FALSE)</f>
        <v>Accounts payable</v>
      </c>
      <c r="C53" s="455" t="str">
        <f t="shared" si="1"/>
        <v>2031202800</v>
      </c>
      <c r="D53" s="455" t="e">
        <f>VLOOKUP(G53,Table!$G$3:$H$21,2,FALSE)</f>
        <v>#N/A</v>
      </c>
      <c r="E53" s="452" t="s">
        <v>840</v>
      </c>
      <c r="F53" s="452" t="s">
        <v>582</v>
      </c>
      <c r="G53" s="452" t="s">
        <v>881</v>
      </c>
      <c r="H53" s="452" t="s">
        <v>129</v>
      </c>
      <c r="I53" s="453" t="s">
        <v>842</v>
      </c>
      <c r="J53" s="453">
        <v>-152000</v>
      </c>
      <c r="K53" s="461">
        <v>-159000</v>
      </c>
      <c r="L53" s="461">
        <v>-214000</v>
      </c>
      <c r="M53" s="461">
        <v>-206000</v>
      </c>
      <c r="N53" s="461">
        <v>-206000</v>
      </c>
      <c r="O53" s="461">
        <v>-206000</v>
      </c>
      <c r="P53" s="461">
        <v>-206000</v>
      </c>
      <c r="Q53" s="461">
        <v>-206000</v>
      </c>
      <c r="R53" s="461">
        <v>-206000</v>
      </c>
      <c r="S53" s="461">
        <v>-206000</v>
      </c>
      <c r="T53" s="461">
        <v>-206000</v>
      </c>
      <c r="U53" s="461">
        <v>-206000</v>
      </c>
      <c r="V53" s="461">
        <v>-206000</v>
      </c>
    </row>
    <row r="54" spans="1:22" s="455" customFormat="1" hidden="1">
      <c r="A54" s="455" t="str">
        <f t="shared" si="0"/>
        <v>10002031203300</v>
      </c>
      <c r="B54" s="455" t="str">
        <f>VLOOKUP(LEFT($C$3:$C$2600,3),Table!$D$2:$E$88,2,FALSE)</f>
        <v>Accounts payable</v>
      </c>
      <c r="C54" s="455" t="str">
        <f t="shared" si="1"/>
        <v>2031203300</v>
      </c>
      <c r="D54" s="455" t="e">
        <f>VLOOKUP(G54,Table!$G$3:$H$21,2,FALSE)</f>
        <v>#N/A</v>
      </c>
      <c r="E54" s="452" t="s">
        <v>840</v>
      </c>
      <c r="F54" s="452" t="s">
        <v>582</v>
      </c>
      <c r="G54" s="452" t="s">
        <v>882</v>
      </c>
      <c r="H54" s="452" t="s">
        <v>130</v>
      </c>
      <c r="I54" s="453" t="s">
        <v>842</v>
      </c>
      <c r="J54" s="453">
        <v>-328000</v>
      </c>
      <c r="K54" s="461">
        <v>-357000</v>
      </c>
      <c r="L54" s="461">
        <v>-264000</v>
      </c>
      <c r="M54" s="461">
        <v>-293000</v>
      </c>
      <c r="N54" s="461">
        <v>-293000</v>
      </c>
      <c r="O54" s="461">
        <v>-293000</v>
      </c>
      <c r="P54" s="461">
        <v>-293000</v>
      </c>
      <c r="Q54" s="461">
        <v>-293000</v>
      </c>
      <c r="R54" s="461">
        <v>-293000</v>
      </c>
      <c r="S54" s="461">
        <v>-293000</v>
      </c>
      <c r="T54" s="461">
        <v>-293000</v>
      </c>
      <c r="U54" s="461">
        <v>-293000</v>
      </c>
      <c r="V54" s="461">
        <v>-293000</v>
      </c>
    </row>
    <row r="55" spans="1:22" s="455" customFormat="1" hidden="1">
      <c r="A55" s="455" t="str">
        <f t="shared" si="0"/>
        <v>10002031300000</v>
      </c>
      <c r="B55" s="455" t="str">
        <f>VLOOKUP(LEFT($C$3:$C$2600,3),Table!$D$2:$E$88,2,FALSE)</f>
        <v>Accounts payable</v>
      </c>
      <c r="C55" s="455" t="str">
        <f t="shared" si="1"/>
        <v>2031300000</v>
      </c>
      <c r="D55" s="455" t="e">
        <f>VLOOKUP(G55,Table!$G$3:$H$21,2,FALSE)</f>
        <v>#N/A</v>
      </c>
      <c r="E55" s="452" t="s">
        <v>840</v>
      </c>
      <c r="F55" s="452" t="s">
        <v>582</v>
      </c>
      <c r="G55" s="452" t="s">
        <v>883</v>
      </c>
      <c r="H55" s="452" t="s">
        <v>131</v>
      </c>
      <c r="I55" s="453" t="s">
        <v>842</v>
      </c>
      <c r="J55" s="453">
        <v>-22311</v>
      </c>
      <c r="K55" s="461">
        <v>-31079.37</v>
      </c>
      <c r="L55" s="461">
        <v>-44066.43</v>
      </c>
      <c r="M55" s="461">
        <v>-51857.16</v>
      </c>
      <c r="N55" s="461">
        <v>-51857.16</v>
      </c>
      <c r="O55" s="461">
        <v>-51857.16</v>
      </c>
      <c r="P55" s="461">
        <v>-51857.16</v>
      </c>
      <c r="Q55" s="461">
        <v>-51857.16</v>
      </c>
      <c r="R55" s="461">
        <v>-51857.16</v>
      </c>
      <c r="S55" s="461">
        <v>-51857.16</v>
      </c>
      <c r="T55" s="461">
        <v>-51857.16</v>
      </c>
      <c r="U55" s="461">
        <v>-51857.16</v>
      </c>
      <c r="V55" s="461">
        <v>-51857.16</v>
      </c>
    </row>
    <row r="56" spans="1:22" s="455" customFormat="1" hidden="1">
      <c r="A56" s="455" t="str">
        <f t="shared" si="0"/>
        <v>10002031501000</v>
      </c>
      <c r="B56" s="455" t="str">
        <f>VLOOKUP(LEFT($C$3:$C$2600,3),Table!$D$2:$E$88,2,FALSE)</f>
        <v>Accounts payable</v>
      </c>
      <c r="C56" s="455" t="str">
        <f t="shared" si="1"/>
        <v>2031501000</v>
      </c>
      <c r="D56" s="455" t="e">
        <f>VLOOKUP(G56,Table!$G$3:$H$21,2,FALSE)</f>
        <v>#N/A</v>
      </c>
      <c r="E56" s="452" t="s">
        <v>840</v>
      </c>
      <c r="F56" s="452" t="s">
        <v>582</v>
      </c>
      <c r="G56" s="452" t="s">
        <v>884</v>
      </c>
      <c r="H56" s="452" t="s">
        <v>132</v>
      </c>
      <c r="I56" s="453" t="s">
        <v>842</v>
      </c>
      <c r="J56" s="453">
        <v>-49775.61</v>
      </c>
      <c r="K56" s="461">
        <v>-62946.43</v>
      </c>
      <c r="L56" s="461">
        <v>-35224.68</v>
      </c>
      <c r="M56" s="461">
        <v>-47452.34</v>
      </c>
      <c r="N56" s="461">
        <v>-37706.589999999997</v>
      </c>
      <c r="O56" s="461">
        <v>-37706.589999999997</v>
      </c>
      <c r="P56" s="461">
        <v>-37706.589999999997</v>
      </c>
      <c r="Q56" s="461">
        <v>-37706.589999999997</v>
      </c>
      <c r="R56" s="461">
        <v>-37706.589999999997</v>
      </c>
      <c r="S56" s="461">
        <v>-37706.589999999997</v>
      </c>
      <c r="T56" s="461">
        <v>-37706.589999999997</v>
      </c>
      <c r="U56" s="461">
        <v>-37706.589999999997</v>
      </c>
      <c r="V56" s="461">
        <v>-37706.589999999997</v>
      </c>
    </row>
    <row r="57" spans="1:22" s="455" customFormat="1" hidden="1">
      <c r="A57" s="455" t="str">
        <f t="shared" si="0"/>
        <v>10002031501200</v>
      </c>
      <c r="B57" s="455" t="str">
        <f>VLOOKUP(LEFT($C$3:$C$2600,3),Table!$D$2:$E$88,2,FALSE)</f>
        <v>Accounts payable</v>
      </c>
      <c r="C57" s="455" t="str">
        <f t="shared" si="1"/>
        <v>2031501200</v>
      </c>
      <c r="D57" s="455" t="e">
        <f>VLOOKUP(G57,Table!$G$3:$H$21,2,FALSE)</f>
        <v>#N/A</v>
      </c>
      <c r="E57" s="452" t="s">
        <v>840</v>
      </c>
      <c r="F57" s="452" t="s">
        <v>582</v>
      </c>
      <c r="G57" s="452" t="s">
        <v>885</v>
      </c>
      <c r="H57" s="452" t="s">
        <v>133</v>
      </c>
      <c r="I57" s="453" t="s">
        <v>842</v>
      </c>
      <c r="J57" s="453">
        <v>-9663.99</v>
      </c>
      <c r="K57" s="461">
        <v>-9663.99</v>
      </c>
      <c r="L57" s="461">
        <v>-7106.83</v>
      </c>
      <c r="M57" s="461">
        <v>-7106.83</v>
      </c>
      <c r="N57" s="461">
        <v>-7106.83</v>
      </c>
      <c r="O57" s="461">
        <v>-7106.83</v>
      </c>
      <c r="P57" s="461">
        <v>-7106.83</v>
      </c>
      <c r="Q57" s="461">
        <v>-7106.83</v>
      </c>
      <c r="R57" s="461">
        <v>-7106.83</v>
      </c>
      <c r="S57" s="461">
        <v>-7106.83</v>
      </c>
      <c r="T57" s="461">
        <v>-7106.83</v>
      </c>
      <c r="U57" s="461">
        <v>-7106.83</v>
      </c>
      <c r="V57" s="461">
        <v>-7106.83</v>
      </c>
    </row>
    <row r="58" spans="1:22" s="455" customFormat="1" hidden="1">
      <c r="A58" s="455" t="str">
        <f t="shared" si="0"/>
        <v>10002031700000</v>
      </c>
      <c r="B58" s="455" t="str">
        <f>VLOOKUP(LEFT($C$3:$C$2600,3),Table!$D$2:$E$88,2,FALSE)</f>
        <v>Accounts payable</v>
      </c>
      <c r="C58" s="455" t="str">
        <f t="shared" si="1"/>
        <v>2031700000</v>
      </c>
      <c r="D58" s="455" t="e">
        <f>VLOOKUP(G58,Table!$G$3:$H$21,2,FALSE)</f>
        <v>#N/A</v>
      </c>
      <c r="E58" s="452" t="s">
        <v>840</v>
      </c>
      <c r="F58" s="452" t="s">
        <v>582</v>
      </c>
      <c r="G58" s="452" t="s">
        <v>886</v>
      </c>
      <c r="H58" s="452" t="s">
        <v>134</v>
      </c>
      <c r="I58" s="453" t="s">
        <v>842</v>
      </c>
      <c r="J58" s="453">
        <v>0</v>
      </c>
      <c r="K58" s="461">
        <v>0</v>
      </c>
      <c r="L58" s="461">
        <v>-3617.71</v>
      </c>
      <c r="M58" s="461">
        <v>-7453.96</v>
      </c>
      <c r="N58" s="461">
        <v>0</v>
      </c>
      <c r="O58" s="461">
        <v>0</v>
      </c>
      <c r="P58" s="461">
        <v>0</v>
      </c>
      <c r="Q58" s="461">
        <v>0</v>
      </c>
      <c r="R58" s="461">
        <v>0</v>
      </c>
      <c r="S58" s="461">
        <v>0</v>
      </c>
      <c r="T58" s="461">
        <v>0</v>
      </c>
      <c r="U58" s="461">
        <v>0</v>
      </c>
      <c r="V58" s="461">
        <v>0</v>
      </c>
    </row>
    <row r="59" spans="1:22" s="455" customFormat="1" hidden="1">
      <c r="A59" s="455" t="str">
        <f t="shared" si="0"/>
        <v>10002032001001</v>
      </c>
      <c r="B59" s="455" t="str">
        <f>VLOOKUP(LEFT($C$3:$C$2600,3),Table!$D$2:$E$88,2,FALSE)</f>
        <v>Accounts payable</v>
      </c>
      <c r="C59" s="455" t="str">
        <f t="shared" si="1"/>
        <v>2032001001</v>
      </c>
      <c r="D59" s="455" t="e">
        <f>VLOOKUP(G59,Table!$G$3:$H$21,2,FALSE)</f>
        <v>#N/A</v>
      </c>
      <c r="E59" s="452" t="s">
        <v>840</v>
      </c>
      <c r="F59" s="452" t="s">
        <v>582</v>
      </c>
      <c r="G59" s="452" t="s">
        <v>887</v>
      </c>
      <c r="H59" s="452" t="s">
        <v>136</v>
      </c>
      <c r="I59" s="453" t="s">
        <v>842</v>
      </c>
      <c r="J59" s="453">
        <v>-147107.04999999999</v>
      </c>
      <c r="K59" s="461">
        <v>-117041.04</v>
      </c>
      <c r="L59" s="461">
        <v>-92954.66</v>
      </c>
      <c r="M59" s="461">
        <v>-66493.45</v>
      </c>
      <c r="N59" s="461">
        <v>2863.96</v>
      </c>
      <c r="O59" s="461">
        <v>2863.96</v>
      </c>
      <c r="P59" s="461">
        <v>2863.96</v>
      </c>
      <c r="Q59" s="461">
        <v>2863.96</v>
      </c>
      <c r="R59" s="461">
        <v>2863.96</v>
      </c>
      <c r="S59" s="461">
        <v>2863.96</v>
      </c>
      <c r="T59" s="461">
        <v>2863.96</v>
      </c>
      <c r="U59" s="461">
        <v>2863.96</v>
      </c>
      <c r="V59" s="461">
        <v>2863.96</v>
      </c>
    </row>
    <row r="60" spans="1:22" s="455" customFormat="1" hidden="1">
      <c r="A60" s="455" t="str">
        <f t="shared" si="0"/>
        <v>10002032001002</v>
      </c>
      <c r="B60" s="455" t="str">
        <f>VLOOKUP(LEFT($C$3:$C$2600,3),Table!$D$2:$E$88,2,FALSE)</f>
        <v>Accounts payable</v>
      </c>
      <c r="C60" s="455" t="str">
        <f t="shared" si="1"/>
        <v>2032001002</v>
      </c>
      <c r="D60" s="455" t="e">
        <f>VLOOKUP(G60,Table!$G$3:$H$21,2,FALSE)</f>
        <v>#N/A</v>
      </c>
      <c r="E60" s="452" t="s">
        <v>840</v>
      </c>
      <c r="F60" s="452" t="s">
        <v>582</v>
      </c>
      <c r="G60" s="452" t="s">
        <v>2529</v>
      </c>
      <c r="H60" s="452" t="s">
        <v>2530</v>
      </c>
      <c r="I60" s="453" t="s">
        <v>842</v>
      </c>
      <c r="J60" s="453">
        <v>0</v>
      </c>
      <c r="K60" s="461">
        <v>0</v>
      </c>
      <c r="L60" s="461">
        <v>0</v>
      </c>
      <c r="M60" s="461">
        <v>2479.6799999999998</v>
      </c>
      <c r="N60" s="461">
        <v>2479.6799999999998</v>
      </c>
      <c r="O60" s="461">
        <v>2479.6799999999998</v>
      </c>
      <c r="P60" s="461">
        <v>2479.6799999999998</v>
      </c>
      <c r="Q60" s="461">
        <v>2479.6799999999998</v>
      </c>
      <c r="R60" s="461">
        <v>2479.6799999999998</v>
      </c>
      <c r="S60" s="461">
        <v>2479.6799999999998</v>
      </c>
      <c r="T60" s="461">
        <v>2479.6799999999998</v>
      </c>
      <c r="U60" s="461">
        <v>2479.6799999999998</v>
      </c>
      <c r="V60" s="461">
        <v>2479.6799999999998</v>
      </c>
    </row>
    <row r="61" spans="1:22" s="455" customFormat="1" hidden="1">
      <c r="A61" s="455" t="str">
        <f t="shared" si="0"/>
        <v>10002032001004</v>
      </c>
      <c r="B61" s="455" t="str">
        <f>VLOOKUP(LEFT($C$3:$C$2600,3),Table!$D$2:$E$88,2,FALSE)</f>
        <v>Accounts payable</v>
      </c>
      <c r="C61" s="455" t="str">
        <f t="shared" si="1"/>
        <v>2032001004</v>
      </c>
      <c r="D61" s="455" t="e">
        <f>VLOOKUP(G61,Table!$G$3:$H$21,2,FALSE)</f>
        <v>#N/A</v>
      </c>
      <c r="E61" s="452" t="s">
        <v>840</v>
      </c>
      <c r="F61" s="452" t="s">
        <v>582</v>
      </c>
      <c r="G61" s="452" t="s">
        <v>888</v>
      </c>
      <c r="H61" s="452" t="s">
        <v>585</v>
      </c>
      <c r="I61" s="453" t="s">
        <v>842</v>
      </c>
      <c r="J61" s="453">
        <v>-6724.52</v>
      </c>
      <c r="K61" s="461">
        <v>-9765.59</v>
      </c>
      <c r="L61" s="461">
        <v>-13539.83</v>
      </c>
      <c r="M61" s="461">
        <v>-15557.13</v>
      </c>
      <c r="N61" s="461">
        <v>-15557.13</v>
      </c>
      <c r="O61" s="461">
        <v>-15557.13</v>
      </c>
      <c r="P61" s="461">
        <v>-15557.13</v>
      </c>
      <c r="Q61" s="461">
        <v>-15557.13</v>
      </c>
      <c r="R61" s="461">
        <v>-15557.13</v>
      </c>
      <c r="S61" s="461">
        <v>-15557.13</v>
      </c>
      <c r="T61" s="461">
        <v>-15557.13</v>
      </c>
      <c r="U61" s="461">
        <v>-15557.13</v>
      </c>
      <c r="V61" s="461">
        <v>-15557.13</v>
      </c>
    </row>
    <row r="62" spans="1:22" s="455" customFormat="1" hidden="1">
      <c r="A62" s="455" t="str">
        <f t="shared" si="0"/>
        <v>10002032200000</v>
      </c>
      <c r="B62" s="455" t="str">
        <f>VLOOKUP(LEFT($C$3:$C$2600,3),Table!$D$2:$E$88,2,FALSE)</f>
        <v>Accounts payable</v>
      </c>
      <c r="C62" s="455" t="str">
        <f t="shared" si="1"/>
        <v>2032200000</v>
      </c>
      <c r="D62" s="455" t="e">
        <f>VLOOKUP(G62,Table!$G$3:$H$21,2,FALSE)</f>
        <v>#N/A</v>
      </c>
      <c r="E62" s="452" t="s">
        <v>840</v>
      </c>
      <c r="F62" s="452" t="s">
        <v>582</v>
      </c>
      <c r="G62" s="452" t="s">
        <v>889</v>
      </c>
      <c r="H62" s="452" t="s">
        <v>137</v>
      </c>
      <c r="I62" s="453" t="s">
        <v>842</v>
      </c>
      <c r="J62" s="453">
        <v>-65203.98</v>
      </c>
      <c r="K62" s="461">
        <v>-42341.13</v>
      </c>
      <c r="L62" s="461">
        <v>-47146.98</v>
      </c>
      <c r="M62" s="461">
        <v>-40617.67</v>
      </c>
      <c r="N62" s="461">
        <v>0</v>
      </c>
      <c r="O62" s="461">
        <v>0</v>
      </c>
      <c r="P62" s="461">
        <v>0</v>
      </c>
      <c r="Q62" s="461">
        <v>0</v>
      </c>
      <c r="R62" s="461">
        <v>0</v>
      </c>
      <c r="S62" s="461">
        <v>0</v>
      </c>
      <c r="T62" s="461">
        <v>0</v>
      </c>
      <c r="U62" s="461">
        <v>0</v>
      </c>
      <c r="V62" s="461">
        <v>0</v>
      </c>
    </row>
    <row r="63" spans="1:22" s="455" customFormat="1" hidden="1">
      <c r="A63" s="455" t="str">
        <f t="shared" si="0"/>
        <v>10002032201115</v>
      </c>
      <c r="B63" s="455" t="str">
        <f>VLOOKUP(LEFT($C$3:$C$2600,3),Table!$D$2:$E$88,2,FALSE)</f>
        <v>Accounts payable</v>
      </c>
      <c r="C63" s="455" t="str">
        <f t="shared" si="1"/>
        <v>2032201115</v>
      </c>
      <c r="D63" s="455" t="e">
        <f>VLOOKUP(G63,Table!$G$3:$H$21,2,FALSE)</f>
        <v>#N/A</v>
      </c>
      <c r="E63" s="452" t="s">
        <v>840</v>
      </c>
      <c r="F63" s="452" t="s">
        <v>582</v>
      </c>
      <c r="G63" s="452" t="s">
        <v>890</v>
      </c>
      <c r="H63" s="452" t="s">
        <v>138</v>
      </c>
      <c r="I63" s="453" t="s">
        <v>842</v>
      </c>
      <c r="J63" s="453">
        <v>-8395.06</v>
      </c>
      <c r="K63" s="461">
        <v>-7230.25</v>
      </c>
      <c r="L63" s="461">
        <v>-11429.99</v>
      </c>
      <c r="M63" s="461">
        <v>-9378.07</v>
      </c>
      <c r="N63" s="461">
        <v>0</v>
      </c>
      <c r="O63" s="461">
        <v>0</v>
      </c>
      <c r="P63" s="461">
        <v>0</v>
      </c>
      <c r="Q63" s="461">
        <v>0</v>
      </c>
      <c r="R63" s="461">
        <v>0</v>
      </c>
      <c r="S63" s="461">
        <v>0</v>
      </c>
      <c r="T63" s="461">
        <v>0</v>
      </c>
      <c r="U63" s="461">
        <v>0</v>
      </c>
      <c r="V63" s="461">
        <v>0</v>
      </c>
    </row>
    <row r="64" spans="1:22" s="455" customFormat="1" hidden="1">
      <c r="A64" s="455" t="str">
        <f t="shared" si="0"/>
        <v>10002032500000</v>
      </c>
      <c r="B64" s="455" t="str">
        <f>VLOOKUP(LEFT($C$3:$C$2600,3),Table!$D$2:$E$88,2,FALSE)</f>
        <v>Accounts payable</v>
      </c>
      <c r="C64" s="455" t="str">
        <f t="shared" si="1"/>
        <v>2032500000</v>
      </c>
      <c r="D64" s="455" t="e">
        <f>VLOOKUP(G64,Table!$G$3:$H$21,2,FALSE)</f>
        <v>#N/A</v>
      </c>
      <c r="E64" s="452" t="s">
        <v>840</v>
      </c>
      <c r="F64" s="452" t="s">
        <v>582</v>
      </c>
      <c r="G64" s="452" t="s">
        <v>891</v>
      </c>
      <c r="H64" s="452" t="s">
        <v>704</v>
      </c>
      <c r="I64" s="453" t="s">
        <v>842</v>
      </c>
      <c r="J64" s="453">
        <v>-3660.8</v>
      </c>
      <c r="K64" s="461">
        <v>-7191.65</v>
      </c>
      <c r="L64" s="461">
        <v>-2718.47</v>
      </c>
      <c r="M64" s="461">
        <v>-2076.6999999999998</v>
      </c>
      <c r="N64" s="461">
        <v>-2076.6999999999998</v>
      </c>
      <c r="O64" s="461">
        <v>-2076.6999999999998</v>
      </c>
      <c r="P64" s="461">
        <v>-2076.6999999999998</v>
      </c>
      <c r="Q64" s="461">
        <v>-2076.6999999999998</v>
      </c>
      <c r="R64" s="461">
        <v>-2076.6999999999998</v>
      </c>
      <c r="S64" s="461">
        <v>-2076.6999999999998</v>
      </c>
      <c r="T64" s="461">
        <v>-2076.6999999999998</v>
      </c>
      <c r="U64" s="461">
        <v>-2076.6999999999998</v>
      </c>
      <c r="V64" s="461">
        <v>-2076.6999999999998</v>
      </c>
    </row>
    <row r="65" spans="1:22" s="455" customFormat="1" hidden="1">
      <c r="A65" s="455" t="str">
        <f t="shared" si="0"/>
        <v>10002032600000</v>
      </c>
      <c r="B65" s="455" t="str">
        <f>VLOOKUP(LEFT($C$3:$C$2600,3),Table!$D$2:$E$88,2,FALSE)</f>
        <v>Accounts payable</v>
      </c>
      <c r="C65" s="455" t="str">
        <f t="shared" si="1"/>
        <v>2032600000</v>
      </c>
      <c r="D65" s="455" t="e">
        <f>VLOOKUP(G65,Table!$G$3:$H$21,2,FALSE)</f>
        <v>#N/A</v>
      </c>
      <c r="E65" s="452" t="s">
        <v>840</v>
      </c>
      <c r="F65" s="452" t="s">
        <v>582</v>
      </c>
      <c r="G65" s="452" t="s">
        <v>892</v>
      </c>
      <c r="H65" s="452" t="s">
        <v>103</v>
      </c>
      <c r="I65" s="453" t="s">
        <v>842</v>
      </c>
      <c r="J65" s="453">
        <v>-356153.5</v>
      </c>
      <c r="K65" s="461">
        <v>-647737.93999999994</v>
      </c>
      <c r="L65" s="461">
        <v>-506097.46</v>
      </c>
      <c r="M65" s="461">
        <v>-615045.12</v>
      </c>
      <c r="N65" s="461">
        <v>-291902.71999999997</v>
      </c>
      <c r="O65" s="461">
        <v>-291902.71999999997</v>
      </c>
      <c r="P65" s="461">
        <v>-291902.71999999997</v>
      </c>
      <c r="Q65" s="461">
        <v>-291902.71999999997</v>
      </c>
      <c r="R65" s="461">
        <v>-291902.71999999997</v>
      </c>
      <c r="S65" s="461">
        <v>-291902.71999999997</v>
      </c>
      <c r="T65" s="461">
        <v>-291902.71999999997</v>
      </c>
      <c r="U65" s="461">
        <v>-291902.71999999997</v>
      </c>
      <c r="V65" s="461">
        <v>-291902.71999999997</v>
      </c>
    </row>
    <row r="66" spans="1:22" s="455" customFormat="1" hidden="1">
      <c r="A66" s="455" t="str">
        <f t="shared" si="0"/>
        <v>10002033000000</v>
      </c>
      <c r="B66" s="455" t="str">
        <f>VLOOKUP(LEFT($C$3:$C$2600,3),Table!$D$2:$E$88,2,FALSE)</f>
        <v>Accounts payable</v>
      </c>
      <c r="C66" s="455" t="str">
        <f t="shared" si="1"/>
        <v>2033000000</v>
      </c>
      <c r="D66" s="455" t="e">
        <f>VLOOKUP(G66,Table!$G$3:$H$21,2,FALSE)</f>
        <v>#N/A</v>
      </c>
      <c r="E66" s="452" t="s">
        <v>840</v>
      </c>
      <c r="F66" s="452" t="s">
        <v>582</v>
      </c>
      <c r="G66" s="452" t="s">
        <v>893</v>
      </c>
      <c r="H66" s="452" t="s">
        <v>141</v>
      </c>
      <c r="I66" s="453" t="s">
        <v>842</v>
      </c>
      <c r="J66" s="453">
        <v>-246875.24</v>
      </c>
      <c r="K66" s="461">
        <v>-176174.87</v>
      </c>
      <c r="L66" s="461">
        <v>-117514.17</v>
      </c>
      <c r="M66" s="461">
        <v>-152763.98000000001</v>
      </c>
      <c r="N66" s="461">
        <v>-253937.17</v>
      </c>
      <c r="O66" s="461">
        <v>-253937.17</v>
      </c>
      <c r="P66" s="461">
        <v>-253937.17</v>
      </c>
      <c r="Q66" s="461">
        <v>-253937.17</v>
      </c>
      <c r="R66" s="461">
        <v>-253937.17</v>
      </c>
      <c r="S66" s="461">
        <v>-253937.17</v>
      </c>
      <c r="T66" s="461">
        <v>-253937.17</v>
      </c>
      <c r="U66" s="461">
        <v>-253937.17</v>
      </c>
      <c r="V66" s="461">
        <v>-253937.17</v>
      </c>
    </row>
    <row r="67" spans="1:22" s="455" customFormat="1" hidden="1">
      <c r="A67" s="455" t="str">
        <f t="shared" si="0"/>
        <v>10002033100000</v>
      </c>
      <c r="B67" s="455" t="str">
        <f>VLOOKUP(LEFT($C$3:$C$2600,3),Table!$D$2:$E$88,2,FALSE)</f>
        <v>Accounts payable</v>
      </c>
      <c r="C67" s="455" t="str">
        <f t="shared" si="1"/>
        <v>2033100000</v>
      </c>
      <c r="D67" s="455" t="e">
        <f>VLOOKUP(G67,Table!$G$3:$H$21,2,FALSE)</f>
        <v>#N/A</v>
      </c>
      <c r="E67" s="452" t="s">
        <v>840</v>
      </c>
      <c r="F67" s="452" t="s">
        <v>582</v>
      </c>
      <c r="G67" s="452" t="s">
        <v>894</v>
      </c>
      <c r="H67" s="452" t="s">
        <v>142</v>
      </c>
      <c r="I67" s="453" t="s">
        <v>842</v>
      </c>
      <c r="J67" s="453">
        <v>-19565.150000000001</v>
      </c>
      <c r="K67" s="461">
        <v>-19565.150000000001</v>
      </c>
      <c r="L67" s="461">
        <v>-19565.150000000001</v>
      </c>
      <c r="M67" s="461">
        <v>-19565.150000000001</v>
      </c>
      <c r="N67" s="461">
        <v>-19565.150000000001</v>
      </c>
      <c r="O67" s="461">
        <v>-19565.150000000001</v>
      </c>
      <c r="P67" s="461">
        <v>-19565.150000000001</v>
      </c>
      <c r="Q67" s="461">
        <v>-19565.150000000001</v>
      </c>
      <c r="R67" s="461">
        <v>-19565.150000000001</v>
      </c>
      <c r="S67" s="461">
        <v>-19565.150000000001</v>
      </c>
      <c r="T67" s="461">
        <v>-19565.150000000001</v>
      </c>
      <c r="U67" s="461">
        <v>-19565.150000000001</v>
      </c>
      <c r="V67" s="461">
        <v>-19565.150000000001</v>
      </c>
    </row>
    <row r="68" spans="1:22" s="455" customFormat="1" hidden="1">
      <c r="A68" s="455" t="str">
        <f t="shared" ref="A68:A131" si="2">F68&amp;G68</f>
        <v>10002121100000</v>
      </c>
      <c r="B68" s="455" t="str">
        <f>VLOOKUP(LEFT($C$3:$C$2600,3),Table!$D$2:$E$88,2,FALSE)</f>
        <v>Net fixed assets</v>
      </c>
      <c r="C68" s="455" t="str">
        <f t="shared" ref="C68:C131" si="3">IF(ISNA(D68),G68,D68)</f>
        <v>2121100000</v>
      </c>
      <c r="D68" s="455" t="e">
        <f>VLOOKUP(G68,Table!$G$3:$H$21,2,FALSE)</f>
        <v>#N/A</v>
      </c>
      <c r="E68" s="452" t="s">
        <v>840</v>
      </c>
      <c r="F68" s="452" t="s">
        <v>582</v>
      </c>
      <c r="G68" s="452" t="s">
        <v>895</v>
      </c>
      <c r="H68" s="452" t="s">
        <v>41</v>
      </c>
      <c r="I68" s="453" t="s">
        <v>842</v>
      </c>
      <c r="J68" s="453">
        <v>-3854454</v>
      </c>
      <c r="K68" s="461">
        <v>-3854454</v>
      </c>
      <c r="L68" s="461">
        <v>-3854454</v>
      </c>
      <c r="M68" s="461">
        <v>-3854454</v>
      </c>
      <c r="N68" s="461">
        <v>-3854454</v>
      </c>
      <c r="O68" s="461">
        <v>-3854454</v>
      </c>
      <c r="P68" s="461">
        <v>-3854454</v>
      </c>
      <c r="Q68" s="461">
        <v>-3854454</v>
      </c>
      <c r="R68" s="461">
        <v>-3854454</v>
      </c>
      <c r="S68" s="461">
        <v>-3854454</v>
      </c>
      <c r="T68" s="461">
        <v>-3854454</v>
      </c>
      <c r="U68" s="461">
        <v>-3854454</v>
      </c>
      <c r="V68" s="461">
        <v>-3854454</v>
      </c>
    </row>
    <row r="69" spans="1:22" s="455" customFormat="1" hidden="1">
      <c r="A69" s="455" t="str">
        <f t="shared" si="2"/>
        <v>10002121100000</v>
      </c>
      <c r="B69" s="455" t="str">
        <f>VLOOKUP(LEFT($C$3:$C$2600,3),Table!$D$2:$E$88,2,FALSE)</f>
        <v>Net fixed assets</v>
      </c>
      <c r="C69" s="455" t="str">
        <f t="shared" si="3"/>
        <v>2121100000</v>
      </c>
      <c r="D69" s="455" t="e">
        <f>VLOOKUP(G69,Table!$G$3:$H$21,2,FALSE)</f>
        <v>#N/A</v>
      </c>
      <c r="E69" s="452" t="s">
        <v>840</v>
      </c>
      <c r="F69" s="452" t="s">
        <v>582</v>
      </c>
      <c r="G69" s="452" t="s">
        <v>895</v>
      </c>
      <c r="H69" s="452" t="s">
        <v>41</v>
      </c>
      <c r="I69" s="453" t="s">
        <v>844</v>
      </c>
      <c r="J69" s="453">
        <v>0</v>
      </c>
      <c r="K69" s="461">
        <v>-9850</v>
      </c>
      <c r="L69" s="461">
        <v>-19700</v>
      </c>
      <c r="M69" s="461">
        <v>-29550</v>
      </c>
      <c r="N69" s="461">
        <v>-29550</v>
      </c>
      <c r="O69" s="461">
        <v>-29550</v>
      </c>
      <c r="P69" s="461">
        <v>-29550</v>
      </c>
      <c r="Q69" s="461">
        <v>0</v>
      </c>
      <c r="R69" s="461">
        <v>0</v>
      </c>
      <c r="S69" s="461">
        <v>0</v>
      </c>
      <c r="T69" s="461">
        <v>0</v>
      </c>
      <c r="U69" s="461">
        <v>0</v>
      </c>
      <c r="V69" s="461">
        <v>0</v>
      </c>
    </row>
    <row r="70" spans="1:22" s="455" customFormat="1" hidden="1">
      <c r="A70" s="455" t="str">
        <f t="shared" si="2"/>
        <v>10002121200000</v>
      </c>
      <c r="B70" s="455" t="str">
        <f>VLOOKUP(LEFT($C$3:$C$2600,3),Table!$D$2:$E$88,2,FALSE)</f>
        <v>Net fixed assets</v>
      </c>
      <c r="C70" s="455" t="str">
        <f t="shared" si="3"/>
        <v>2121200000</v>
      </c>
      <c r="D70" s="455" t="e">
        <f>VLOOKUP(G70,Table!$G$3:$H$21,2,FALSE)</f>
        <v>#N/A</v>
      </c>
      <c r="E70" s="452" t="s">
        <v>840</v>
      </c>
      <c r="F70" s="452" t="s">
        <v>582</v>
      </c>
      <c r="G70" s="452" t="s">
        <v>896</v>
      </c>
      <c r="H70" s="452" t="s">
        <v>43</v>
      </c>
      <c r="I70" s="453" t="s">
        <v>842</v>
      </c>
      <c r="J70" s="453">
        <v>-19535093.329999998</v>
      </c>
      <c r="K70" s="461">
        <v>-19535093.329999998</v>
      </c>
      <c r="L70" s="461">
        <v>-19535093.329999998</v>
      </c>
      <c r="M70" s="461">
        <v>-19535093.329999998</v>
      </c>
      <c r="N70" s="461">
        <v>-19535093.329999998</v>
      </c>
      <c r="O70" s="461">
        <v>-19535093.329999998</v>
      </c>
      <c r="P70" s="461">
        <v>-19535093.329999998</v>
      </c>
      <c r="Q70" s="461">
        <v>-19535093.329999998</v>
      </c>
      <c r="R70" s="461">
        <v>-19535093.329999998</v>
      </c>
      <c r="S70" s="461">
        <v>-19535093.329999998</v>
      </c>
      <c r="T70" s="461">
        <v>-19535093.329999998</v>
      </c>
      <c r="U70" s="461">
        <v>-19535093.329999998</v>
      </c>
      <c r="V70" s="461">
        <v>-19535093.329999998</v>
      </c>
    </row>
    <row r="71" spans="1:22" s="455" customFormat="1" hidden="1">
      <c r="A71" s="455" t="str">
        <f t="shared" si="2"/>
        <v>10002121200000</v>
      </c>
      <c r="B71" s="455" t="str">
        <f>VLOOKUP(LEFT($C$3:$C$2600,3),Table!$D$2:$E$88,2,FALSE)</f>
        <v>Net fixed assets</v>
      </c>
      <c r="C71" s="455" t="str">
        <f t="shared" si="3"/>
        <v>2121200000</v>
      </c>
      <c r="D71" s="455" t="e">
        <f>VLOOKUP(G71,Table!$G$3:$H$21,2,FALSE)</f>
        <v>#N/A</v>
      </c>
      <c r="E71" s="452" t="s">
        <v>840</v>
      </c>
      <c r="F71" s="452" t="s">
        <v>582</v>
      </c>
      <c r="G71" s="452" t="s">
        <v>896</v>
      </c>
      <c r="H71" s="452" t="s">
        <v>43</v>
      </c>
      <c r="I71" s="453" t="s">
        <v>844</v>
      </c>
      <c r="J71" s="453">
        <v>0</v>
      </c>
      <c r="K71" s="461">
        <v>-59778</v>
      </c>
      <c r="L71" s="461">
        <v>-119556</v>
      </c>
      <c r="M71" s="461">
        <v>-179334</v>
      </c>
      <c r="N71" s="461">
        <v>-179334</v>
      </c>
      <c r="O71" s="461">
        <v>-179334</v>
      </c>
      <c r="P71" s="461">
        <v>-179334</v>
      </c>
      <c r="Q71" s="461">
        <v>0</v>
      </c>
      <c r="R71" s="461">
        <v>0</v>
      </c>
      <c r="S71" s="461">
        <v>0</v>
      </c>
      <c r="T71" s="461">
        <v>0</v>
      </c>
      <c r="U71" s="461">
        <v>0</v>
      </c>
      <c r="V71" s="461">
        <v>0</v>
      </c>
    </row>
    <row r="72" spans="1:22" s="455" customFormat="1" hidden="1">
      <c r="A72" s="455" t="str">
        <f t="shared" si="2"/>
        <v>10002121300000</v>
      </c>
      <c r="B72" s="455" t="str">
        <f>VLOOKUP(LEFT($C$3:$C$2600,3),Table!$D$2:$E$88,2,FALSE)</f>
        <v>Net fixed assets</v>
      </c>
      <c r="C72" s="455" t="str">
        <f t="shared" si="3"/>
        <v>2121300000</v>
      </c>
      <c r="D72" s="455" t="e">
        <f>VLOOKUP(G72,Table!$G$3:$H$21,2,FALSE)</f>
        <v>#N/A</v>
      </c>
      <c r="E72" s="452" t="s">
        <v>840</v>
      </c>
      <c r="F72" s="452" t="s">
        <v>582</v>
      </c>
      <c r="G72" s="452" t="s">
        <v>897</v>
      </c>
      <c r="H72" s="452" t="s">
        <v>45</v>
      </c>
      <c r="I72" s="453" t="s">
        <v>842</v>
      </c>
      <c r="J72" s="453">
        <v>-167070069.52000001</v>
      </c>
      <c r="K72" s="461">
        <v>-167070069.52000001</v>
      </c>
      <c r="L72" s="461">
        <v>-167070069.52000001</v>
      </c>
      <c r="M72" s="461">
        <v>-167070069.52000001</v>
      </c>
      <c r="N72" s="461">
        <v>-167070069.52000001</v>
      </c>
      <c r="O72" s="461">
        <v>-167070069.52000001</v>
      </c>
      <c r="P72" s="461">
        <v>-167070069.52000001</v>
      </c>
      <c r="Q72" s="461">
        <v>-167070069.52000001</v>
      </c>
      <c r="R72" s="461">
        <v>-167070069.52000001</v>
      </c>
      <c r="S72" s="461">
        <v>-167070069.52000001</v>
      </c>
      <c r="T72" s="461">
        <v>-167070069.52000001</v>
      </c>
      <c r="U72" s="461">
        <v>-167070069.52000001</v>
      </c>
      <c r="V72" s="461">
        <v>-167070069.52000001</v>
      </c>
    </row>
    <row r="73" spans="1:22" s="455" customFormat="1" hidden="1">
      <c r="A73" s="455" t="str">
        <f t="shared" si="2"/>
        <v>10002121300000</v>
      </c>
      <c r="B73" s="455" t="str">
        <f>VLOOKUP(LEFT($C$3:$C$2600,3),Table!$D$2:$E$88,2,FALSE)</f>
        <v>Net fixed assets</v>
      </c>
      <c r="C73" s="455" t="str">
        <f t="shared" si="3"/>
        <v>2121300000</v>
      </c>
      <c r="D73" s="455" t="e">
        <f>VLOOKUP(G73,Table!$G$3:$H$21,2,FALSE)</f>
        <v>#N/A</v>
      </c>
      <c r="E73" s="452" t="s">
        <v>840</v>
      </c>
      <c r="F73" s="452" t="s">
        <v>582</v>
      </c>
      <c r="G73" s="452" t="s">
        <v>897</v>
      </c>
      <c r="H73" s="452" t="s">
        <v>45</v>
      </c>
      <c r="I73" s="453" t="s">
        <v>844</v>
      </c>
      <c r="J73" s="453">
        <v>0</v>
      </c>
      <c r="K73" s="461">
        <v>-179500.19</v>
      </c>
      <c r="L73" s="461">
        <v>-812152.19</v>
      </c>
      <c r="M73" s="461">
        <v>-1445154.19</v>
      </c>
      <c r="N73" s="461">
        <v>-1445154.19</v>
      </c>
      <c r="O73" s="461">
        <v>-1445154.19</v>
      </c>
      <c r="P73" s="461">
        <v>-1445154.19</v>
      </c>
      <c r="Q73" s="461">
        <v>0</v>
      </c>
      <c r="R73" s="461">
        <v>0</v>
      </c>
      <c r="S73" s="461">
        <v>0</v>
      </c>
      <c r="T73" s="461">
        <v>0</v>
      </c>
      <c r="U73" s="461">
        <v>0</v>
      </c>
      <c r="V73" s="461">
        <v>0</v>
      </c>
    </row>
    <row r="74" spans="1:22" s="455" customFormat="1" hidden="1">
      <c r="A74" s="455" t="str">
        <f t="shared" si="2"/>
        <v>10002121600000</v>
      </c>
      <c r="B74" s="455" t="str">
        <f>VLOOKUP(LEFT($C$3:$C$2600,3),Table!$D$2:$E$88,2,FALSE)</f>
        <v>Net fixed assets</v>
      </c>
      <c r="C74" s="455" t="str">
        <f t="shared" si="3"/>
        <v>2121600000</v>
      </c>
      <c r="D74" s="455" t="e">
        <f>VLOOKUP(G74,Table!$G$3:$H$21,2,FALSE)</f>
        <v>#N/A</v>
      </c>
      <c r="E74" s="452" t="s">
        <v>840</v>
      </c>
      <c r="F74" s="452" t="s">
        <v>582</v>
      </c>
      <c r="G74" s="452" t="s">
        <v>898</v>
      </c>
      <c r="H74" s="452" t="s">
        <v>46</v>
      </c>
      <c r="I74" s="453" t="s">
        <v>842</v>
      </c>
      <c r="J74" s="453">
        <v>-104411</v>
      </c>
      <c r="K74" s="461">
        <v>-104411</v>
      </c>
      <c r="L74" s="461">
        <v>-104411</v>
      </c>
      <c r="M74" s="461">
        <v>-104411</v>
      </c>
      <c r="N74" s="461">
        <v>-104411</v>
      </c>
      <c r="O74" s="461">
        <v>-104411</v>
      </c>
      <c r="P74" s="461">
        <v>-104411</v>
      </c>
      <c r="Q74" s="461">
        <v>-104411</v>
      </c>
      <c r="R74" s="461">
        <v>-104411</v>
      </c>
      <c r="S74" s="461">
        <v>-104411</v>
      </c>
      <c r="T74" s="461">
        <v>-104411</v>
      </c>
      <c r="U74" s="461">
        <v>-104411</v>
      </c>
      <c r="V74" s="461">
        <v>-104411</v>
      </c>
    </row>
    <row r="75" spans="1:22" s="455" customFormat="1" hidden="1">
      <c r="A75" s="455" t="str">
        <f t="shared" si="2"/>
        <v>10002121600000</v>
      </c>
      <c r="B75" s="455" t="str">
        <f>VLOOKUP(LEFT($C$3:$C$2600,3),Table!$D$2:$E$88,2,FALSE)</f>
        <v>Net fixed assets</v>
      </c>
      <c r="C75" s="455" t="str">
        <f t="shared" si="3"/>
        <v>2121600000</v>
      </c>
      <c r="D75" s="455" t="e">
        <f>VLOOKUP(G75,Table!$G$3:$H$21,2,FALSE)</f>
        <v>#N/A</v>
      </c>
      <c r="E75" s="452" t="s">
        <v>840</v>
      </c>
      <c r="F75" s="452" t="s">
        <v>582</v>
      </c>
      <c r="G75" s="452" t="s">
        <v>898</v>
      </c>
      <c r="H75" s="452" t="s">
        <v>46</v>
      </c>
      <c r="I75" s="453" t="s">
        <v>844</v>
      </c>
      <c r="J75" s="453">
        <v>0</v>
      </c>
      <c r="K75" s="461">
        <v>-419</v>
      </c>
      <c r="L75" s="461">
        <v>-838</v>
      </c>
      <c r="M75" s="461">
        <v>-1257</v>
      </c>
      <c r="N75" s="461">
        <v>-1257</v>
      </c>
      <c r="O75" s="461">
        <v>-1257</v>
      </c>
      <c r="P75" s="461">
        <v>-1257</v>
      </c>
      <c r="Q75" s="461">
        <v>0</v>
      </c>
      <c r="R75" s="461">
        <v>0</v>
      </c>
      <c r="S75" s="461">
        <v>0</v>
      </c>
      <c r="T75" s="461">
        <v>0</v>
      </c>
      <c r="U75" s="461">
        <v>0</v>
      </c>
      <c r="V75" s="461">
        <v>0</v>
      </c>
    </row>
    <row r="76" spans="1:22" s="455" customFormat="1" hidden="1">
      <c r="A76" s="455" t="str">
        <f t="shared" si="2"/>
        <v>10002121700000</v>
      </c>
      <c r="B76" s="455" t="str">
        <f>VLOOKUP(LEFT($C$3:$C$2600,3),Table!$D$2:$E$88,2,FALSE)</f>
        <v>Net fixed assets</v>
      </c>
      <c r="C76" s="455" t="str">
        <f t="shared" si="3"/>
        <v>2121700000</v>
      </c>
      <c r="D76" s="455" t="e">
        <f>VLOOKUP(G76,Table!$G$3:$H$21,2,FALSE)</f>
        <v>#N/A</v>
      </c>
      <c r="E76" s="452" t="s">
        <v>840</v>
      </c>
      <c r="F76" s="452" t="s">
        <v>582</v>
      </c>
      <c r="G76" s="452" t="s">
        <v>899</v>
      </c>
      <c r="H76" s="452" t="s">
        <v>47</v>
      </c>
      <c r="I76" s="453" t="s">
        <v>842</v>
      </c>
      <c r="J76" s="453">
        <v>-973609</v>
      </c>
      <c r="K76" s="461">
        <v>-973609</v>
      </c>
      <c r="L76" s="461">
        <v>-973609</v>
      </c>
      <c r="M76" s="461">
        <v>-973609</v>
      </c>
      <c r="N76" s="461">
        <v>-973609</v>
      </c>
      <c r="O76" s="461">
        <v>-973609</v>
      </c>
      <c r="P76" s="461">
        <v>-973609</v>
      </c>
      <c r="Q76" s="461">
        <v>-973609</v>
      </c>
      <c r="R76" s="461">
        <v>-973609</v>
      </c>
      <c r="S76" s="461">
        <v>-973609</v>
      </c>
      <c r="T76" s="461">
        <v>-973609</v>
      </c>
      <c r="U76" s="461">
        <v>-973609</v>
      </c>
      <c r="V76" s="461">
        <v>-973609</v>
      </c>
    </row>
    <row r="77" spans="1:22" s="455" customFormat="1" hidden="1">
      <c r="A77" s="455" t="str">
        <f t="shared" si="2"/>
        <v>10002121700000</v>
      </c>
      <c r="B77" s="455" t="str">
        <f>VLOOKUP(LEFT($C$3:$C$2600,3),Table!$D$2:$E$88,2,FALSE)</f>
        <v>Net fixed assets</v>
      </c>
      <c r="C77" s="455" t="str">
        <f t="shared" si="3"/>
        <v>2121700000</v>
      </c>
      <c r="D77" s="455" t="e">
        <f>VLOOKUP(G77,Table!$G$3:$H$21,2,FALSE)</f>
        <v>#N/A</v>
      </c>
      <c r="E77" s="452" t="s">
        <v>840</v>
      </c>
      <c r="F77" s="452" t="s">
        <v>582</v>
      </c>
      <c r="G77" s="452" t="s">
        <v>899</v>
      </c>
      <c r="H77" s="452" t="s">
        <v>47</v>
      </c>
      <c r="I77" s="453" t="s">
        <v>844</v>
      </c>
      <c r="J77" s="453">
        <v>0</v>
      </c>
      <c r="K77" s="461">
        <v>-12073</v>
      </c>
      <c r="L77" s="461">
        <v>-24477</v>
      </c>
      <c r="M77" s="461">
        <v>30223</v>
      </c>
      <c r="N77" s="461">
        <v>30223</v>
      </c>
      <c r="O77" s="461">
        <v>30223</v>
      </c>
      <c r="P77" s="461">
        <v>30223</v>
      </c>
      <c r="Q77" s="461">
        <v>0</v>
      </c>
      <c r="R77" s="461">
        <v>0</v>
      </c>
      <c r="S77" s="461">
        <v>0</v>
      </c>
      <c r="T77" s="461">
        <v>0</v>
      </c>
      <c r="U77" s="461">
        <v>0</v>
      </c>
      <c r="V77" s="461">
        <v>0</v>
      </c>
    </row>
    <row r="78" spans="1:22" s="455" customFormat="1" hidden="1">
      <c r="A78" s="455" t="str">
        <f t="shared" si="2"/>
        <v>10002121800000</v>
      </c>
      <c r="B78" s="455" t="str">
        <f>VLOOKUP(LEFT($C$3:$C$2600,3),Table!$D$2:$E$88,2,FALSE)</f>
        <v>Net fixed assets</v>
      </c>
      <c r="C78" s="455" t="str">
        <f t="shared" si="3"/>
        <v>2121800000</v>
      </c>
      <c r="D78" s="455" t="e">
        <f>VLOOKUP(G78,Table!$G$3:$H$21,2,FALSE)</f>
        <v>#N/A</v>
      </c>
      <c r="E78" s="452" t="s">
        <v>840</v>
      </c>
      <c r="F78" s="452" t="s">
        <v>582</v>
      </c>
      <c r="G78" s="452" t="s">
        <v>900</v>
      </c>
      <c r="H78" s="452" t="s">
        <v>48</v>
      </c>
      <c r="I78" s="453" t="s">
        <v>842</v>
      </c>
      <c r="J78" s="453">
        <v>-892734.02</v>
      </c>
      <c r="K78" s="461">
        <v>-892734.02</v>
      </c>
      <c r="L78" s="461">
        <v>-892734.02</v>
      </c>
      <c r="M78" s="461">
        <v>-892734.02</v>
      </c>
      <c r="N78" s="461">
        <v>-892734.02</v>
      </c>
      <c r="O78" s="461">
        <v>-892734.02</v>
      </c>
      <c r="P78" s="461">
        <v>-892734.02</v>
      </c>
      <c r="Q78" s="461">
        <v>-892734.02</v>
      </c>
      <c r="R78" s="461">
        <v>-892734.02</v>
      </c>
      <c r="S78" s="461">
        <v>-892734.02</v>
      </c>
      <c r="T78" s="461">
        <v>-892734.02</v>
      </c>
      <c r="U78" s="461">
        <v>-892734.02</v>
      </c>
      <c r="V78" s="461">
        <v>-892734.02</v>
      </c>
    </row>
    <row r="79" spans="1:22" s="455" customFormat="1" hidden="1">
      <c r="A79" s="455" t="str">
        <f t="shared" si="2"/>
        <v>10002121800000</v>
      </c>
      <c r="B79" s="455" t="str">
        <f>VLOOKUP(LEFT($C$3:$C$2600,3),Table!$D$2:$E$88,2,FALSE)</f>
        <v>Net fixed assets</v>
      </c>
      <c r="C79" s="455" t="str">
        <f t="shared" si="3"/>
        <v>2121800000</v>
      </c>
      <c r="D79" s="455" t="e">
        <f>VLOOKUP(G79,Table!$G$3:$H$21,2,FALSE)</f>
        <v>#N/A</v>
      </c>
      <c r="E79" s="452" t="s">
        <v>840</v>
      </c>
      <c r="F79" s="452" t="s">
        <v>582</v>
      </c>
      <c r="G79" s="452" t="s">
        <v>900</v>
      </c>
      <c r="H79" s="452" t="s">
        <v>48</v>
      </c>
      <c r="I79" s="453" t="s">
        <v>844</v>
      </c>
      <c r="J79" s="453">
        <v>0</v>
      </c>
      <c r="K79" s="461">
        <v>2547</v>
      </c>
      <c r="L79" s="461">
        <v>-367</v>
      </c>
      <c r="M79" s="461">
        <v>-3281</v>
      </c>
      <c r="N79" s="461">
        <v>-3281</v>
      </c>
      <c r="O79" s="461">
        <v>-3281</v>
      </c>
      <c r="P79" s="461">
        <v>-3281</v>
      </c>
      <c r="Q79" s="461">
        <v>0</v>
      </c>
      <c r="R79" s="461">
        <v>0</v>
      </c>
      <c r="S79" s="461">
        <v>0</v>
      </c>
      <c r="T79" s="461">
        <v>0</v>
      </c>
      <c r="U79" s="461">
        <v>0</v>
      </c>
      <c r="V79" s="461">
        <v>0</v>
      </c>
    </row>
    <row r="80" spans="1:22" s="455" customFormat="1" hidden="1">
      <c r="A80" s="455" t="str">
        <f t="shared" si="2"/>
        <v>10002121900000</v>
      </c>
      <c r="B80" s="455" t="str">
        <f>VLOOKUP(LEFT($C$3:$C$2600,3),Table!$D$2:$E$88,2,FALSE)</f>
        <v>Net fixed assets</v>
      </c>
      <c r="C80" s="455" t="str">
        <f t="shared" si="3"/>
        <v>2121900000</v>
      </c>
      <c r="D80" s="455" t="e">
        <f>VLOOKUP(G80,Table!$G$3:$H$21,2,FALSE)</f>
        <v>#N/A</v>
      </c>
      <c r="E80" s="452" t="s">
        <v>840</v>
      </c>
      <c r="F80" s="452" t="s">
        <v>582</v>
      </c>
      <c r="G80" s="452" t="s">
        <v>901</v>
      </c>
      <c r="H80" s="452" t="s">
        <v>49</v>
      </c>
      <c r="I80" s="453" t="s">
        <v>842</v>
      </c>
      <c r="J80" s="453">
        <v>-1127786.6100000001</v>
      </c>
      <c r="K80" s="461">
        <v>-1127786.6100000001</v>
      </c>
      <c r="L80" s="461">
        <v>-1127786.6100000001</v>
      </c>
      <c r="M80" s="461">
        <v>-1127786.6100000001</v>
      </c>
      <c r="N80" s="461">
        <v>-1127786.6100000001</v>
      </c>
      <c r="O80" s="461">
        <v>-1127786.6100000001</v>
      </c>
      <c r="P80" s="461">
        <v>-1127786.6100000001</v>
      </c>
      <c r="Q80" s="461">
        <v>-1127786.6100000001</v>
      </c>
      <c r="R80" s="461">
        <v>-1127786.6100000001</v>
      </c>
      <c r="S80" s="461">
        <v>-1127786.6100000001</v>
      </c>
      <c r="T80" s="461">
        <v>-1127786.6100000001</v>
      </c>
      <c r="U80" s="461">
        <v>-1127786.6100000001</v>
      </c>
      <c r="V80" s="461">
        <v>-1127786.6100000001</v>
      </c>
    </row>
    <row r="81" spans="1:22" s="455" customFormat="1" hidden="1">
      <c r="A81" s="455" t="str">
        <f t="shared" si="2"/>
        <v>10002121900000</v>
      </c>
      <c r="B81" s="455" t="str">
        <f>VLOOKUP(LEFT($C$3:$C$2600,3),Table!$D$2:$E$88,2,FALSE)</f>
        <v>Net fixed assets</v>
      </c>
      <c r="C81" s="455" t="str">
        <f t="shared" si="3"/>
        <v>2121900000</v>
      </c>
      <c r="D81" s="455" t="e">
        <f>VLOOKUP(G81,Table!$G$3:$H$21,2,FALSE)</f>
        <v>#N/A</v>
      </c>
      <c r="E81" s="452" t="s">
        <v>840</v>
      </c>
      <c r="F81" s="452" t="s">
        <v>582</v>
      </c>
      <c r="G81" s="452" t="s">
        <v>901</v>
      </c>
      <c r="H81" s="452" t="s">
        <v>49</v>
      </c>
      <c r="I81" s="453" t="s">
        <v>844</v>
      </c>
      <c r="J81" s="453">
        <v>0</v>
      </c>
      <c r="K81" s="461">
        <v>-13801</v>
      </c>
      <c r="L81" s="461">
        <v>-27602</v>
      </c>
      <c r="M81" s="461">
        <v>-48898</v>
      </c>
      <c r="N81" s="461">
        <v>-48898</v>
      </c>
      <c r="O81" s="461">
        <v>-48898</v>
      </c>
      <c r="P81" s="461">
        <v>-48898</v>
      </c>
      <c r="Q81" s="461">
        <v>0</v>
      </c>
      <c r="R81" s="461">
        <v>0</v>
      </c>
      <c r="S81" s="461">
        <v>0</v>
      </c>
      <c r="T81" s="461">
        <v>0</v>
      </c>
      <c r="U81" s="461">
        <v>0</v>
      </c>
      <c r="V81" s="461">
        <v>0</v>
      </c>
    </row>
    <row r="82" spans="1:22" s="455" customFormat="1" hidden="1">
      <c r="A82" s="455" t="str">
        <f t="shared" si="2"/>
        <v>10005200000000</v>
      </c>
      <c r="B82" s="455" t="str">
        <f>VLOOKUP(LEFT($C$3:$C$2600,3),Table!$D$2:$E$88,2,FALSE)</f>
        <v>3rd Party Other manufacturing cost</v>
      </c>
      <c r="C82" s="455" t="str">
        <f t="shared" si="3"/>
        <v>5200000000</v>
      </c>
      <c r="D82" s="455" t="e">
        <f>VLOOKUP(G82,Table!$G$3:$H$21,2,FALSE)</f>
        <v>#N/A</v>
      </c>
      <c r="E82" s="452" t="s">
        <v>902</v>
      </c>
      <c r="F82" s="452" t="s">
        <v>582</v>
      </c>
      <c r="G82" s="452" t="s">
        <v>903</v>
      </c>
      <c r="H82" s="452" t="s">
        <v>904</v>
      </c>
      <c r="I82" s="453" t="s">
        <v>844</v>
      </c>
      <c r="J82" s="453">
        <v>19000</v>
      </c>
      <c r="K82" s="461">
        <v>36000</v>
      </c>
      <c r="L82" s="461">
        <v>-38000</v>
      </c>
      <c r="M82" s="461">
        <v>21000</v>
      </c>
      <c r="N82" s="461">
        <v>0</v>
      </c>
      <c r="O82" s="461">
        <v>0</v>
      </c>
      <c r="P82" s="461">
        <v>0</v>
      </c>
      <c r="Q82" s="461">
        <v>0</v>
      </c>
      <c r="R82" s="461">
        <v>0</v>
      </c>
      <c r="S82" s="461">
        <v>0</v>
      </c>
      <c r="T82" s="461">
        <v>0</v>
      </c>
      <c r="U82" s="461">
        <v>0</v>
      </c>
      <c r="V82" s="461">
        <v>0</v>
      </c>
    </row>
    <row r="83" spans="1:22" s="455" customFormat="1" hidden="1">
      <c r="A83" s="455" t="str">
        <f t="shared" si="2"/>
        <v>10005201200000</v>
      </c>
      <c r="B83" s="455" t="str">
        <f>VLOOKUP(LEFT($C$3:$C$2600,3),Table!$D$2:$E$88,2,FALSE)</f>
        <v>3rd Party Other manufacturing cost</v>
      </c>
      <c r="C83" s="455" t="str">
        <f t="shared" si="3"/>
        <v>5201200000</v>
      </c>
      <c r="D83" s="455" t="e">
        <f>VLOOKUP(G83,Table!$G$3:$H$21,2,FALSE)</f>
        <v>#N/A</v>
      </c>
      <c r="E83" s="452" t="s">
        <v>902</v>
      </c>
      <c r="F83" s="452" t="s">
        <v>582</v>
      </c>
      <c r="G83" s="452" t="s">
        <v>905</v>
      </c>
      <c r="H83" s="452" t="s">
        <v>906</v>
      </c>
      <c r="I83" s="453" t="s">
        <v>844</v>
      </c>
      <c r="J83" s="453">
        <v>44678.53</v>
      </c>
      <c r="K83" s="461">
        <v>17083.77</v>
      </c>
      <c r="L83" s="461">
        <v>15191.35</v>
      </c>
      <c r="M83" s="461">
        <v>12403.41</v>
      </c>
      <c r="N83" s="461">
        <v>0</v>
      </c>
      <c r="O83" s="461">
        <v>0</v>
      </c>
      <c r="P83" s="461">
        <v>0</v>
      </c>
      <c r="Q83" s="461">
        <v>0</v>
      </c>
      <c r="R83" s="461">
        <v>0</v>
      </c>
      <c r="S83" s="461">
        <v>0</v>
      </c>
      <c r="T83" s="461">
        <v>0</v>
      </c>
      <c r="U83" s="461">
        <v>0</v>
      </c>
      <c r="V83" s="461">
        <v>0</v>
      </c>
    </row>
    <row r="84" spans="1:22" s="455" customFormat="1" hidden="1">
      <c r="A84" s="455" t="str">
        <f t="shared" si="2"/>
        <v>10005201400000</v>
      </c>
      <c r="B84" s="455" t="str">
        <f>VLOOKUP(LEFT($C$3:$C$2600,3),Table!$D$2:$E$88,2,FALSE)</f>
        <v>3rd Party Other manufacturing cost</v>
      </c>
      <c r="C84" s="455" t="str">
        <f t="shared" si="3"/>
        <v>5201400000</v>
      </c>
      <c r="D84" s="455" t="e">
        <f>VLOOKUP(G84,Table!$G$3:$H$21,2,FALSE)</f>
        <v>#N/A</v>
      </c>
      <c r="E84" s="452" t="s">
        <v>902</v>
      </c>
      <c r="F84" s="452" t="s">
        <v>582</v>
      </c>
      <c r="G84" s="452" t="s">
        <v>907</v>
      </c>
      <c r="H84" s="452" t="s">
        <v>908</v>
      </c>
      <c r="I84" s="453" t="s">
        <v>844</v>
      </c>
      <c r="J84" s="453">
        <v>24127.5</v>
      </c>
      <c r="K84" s="461">
        <v>14247.32</v>
      </c>
      <c r="L84" s="461">
        <v>-8597.1200000000008</v>
      </c>
      <c r="M84" s="461">
        <v>18477.3</v>
      </c>
      <c r="N84" s="461">
        <v>0</v>
      </c>
      <c r="O84" s="461">
        <v>0</v>
      </c>
      <c r="P84" s="461">
        <v>0</v>
      </c>
      <c r="Q84" s="461">
        <v>0</v>
      </c>
      <c r="R84" s="461">
        <v>0</v>
      </c>
      <c r="S84" s="461">
        <v>0</v>
      </c>
      <c r="T84" s="461">
        <v>0</v>
      </c>
      <c r="U84" s="461">
        <v>0</v>
      </c>
      <c r="V84" s="461">
        <v>0</v>
      </c>
    </row>
    <row r="85" spans="1:22" s="455" customFormat="1" hidden="1">
      <c r="A85" s="455" t="str">
        <f t="shared" si="2"/>
        <v>10005201500000</v>
      </c>
      <c r="B85" s="455" t="str">
        <f>VLOOKUP(LEFT($C$3:$C$2600,3),Table!$D$2:$E$88,2,FALSE)</f>
        <v>3rd Party Other manufacturing cost</v>
      </c>
      <c r="C85" s="455" t="str">
        <f t="shared" si="3"/>
        <v>5201500000</v>
      </c>
      <c r="D85" s="455" t="e">
        <f>VLOOKUP(G85,Table!$G$3:$H$21,2,FALSE)</f>
        <v>#N/A</v>
      </c>
      <c r="E85" s="452" t="s">
        <v>902</v>
      </c>
      <c r="F85" s="452" t="s">
        <v>582</v>
      </c>
      <c r="G85" s="452" t="s">
        <v>909</v>
      </c>
      <c r="H85" s="452" t="s">
        <v>910</v>
      </c>
      <c r="I85" s="453" t="s">
        <v>844</v>
      </c>
      <c r="J85" s="453">
        <v>258323.14</v>
      </c>
      <c r="K85" s="461">
        <v>253428.94</v>
      </c>
      <c r="L85" s="461">
        <v>4894.2</v>
      </c>
      <c r="M85" s="461">
        <v>0</v>
      </c>
      <c r="N85" s="461">
        <v>0</v>
      </c>
      <c r="O85" s="461">
        <v>0</v>
      </c>
      <c r="P85" s="461">
        <v>0</v>
      </c>
      <c r="Q85" s="461">
        <v>0</v>
      </c>
      <c r="R85" s="461">
        <v>0</v>
      </c>
      <c r="S85" s="461">
        <v>0</v>
      </c>
      <c r="T85" s="461">
        <v>0</v>
      </c>
      <c r="U85" s="461">
        <v>0</v>
      </c>
      <c r="V85" s="461">
        <v>0</v>
      </c>
    </row>
    <row r="86" spans="1:22" s="455" customFormat="1" hidden="1">
      <c r="A86" s="455" t="str">
        <f t="shared" si="2"/>
        <v>10005202100000</v>
      </c>
      <c r="B86" s="455" t="str">
        <f>VLOOKUP(LEFT($C$3:$C$2600,3),Table!$D$2:$E$88,2,FALSE)</f>
        <v>3rd Party Other manufacturing cost</v>
      </c>
      <c r="C86" s="455" t="str">
        <f t="shared" si="3"/>
        <v>5202100000</v>
      </c>
      <c r="D86" s="455" t="e">
        <f>VLOOKUP(G86,Table!$G$3:$H$21,2,FALSE)</f>
        <v>#N/A</v>
      </c>
      <c r="E86" s="452" t="s">
        <v>902</v>
      </c>
      <c r="F86" s="452" t="s">
        <v>582</v>
      </c>
      <c r="G86" s="452" t="s">
        <v>912</v>
      </c>
      <c r="H86" s="452" t="s">
        <v>913</v>
      </c>
      <c r="I86" s="453" t="s">
        <v>844</v>
      </c>
      <c r="J86" s="453">
        <v>28000</v>
      </c>
      <c r="K86" s="461">
        <v>0</v>
      </c>
      <c r="L86" s="461">
        <v>28000</v>
      </c>
      <c r="M86" s="461">
        <v>0</v>
      </c>
      <c r="N86" s="461">
        <v>0</v>
      </c>
      <c r="O86" s="461">
        <v>0</v>
      </c>
      <c r="P86" s="461">
        <v>0</v>
      </c>
      <c r="Q86" s="461">
        <v>0</v>
      </c>
      <c r="R86" s="461">
        <v>0</v>
      </c>
      <c r="S86" s="461">
        <v>0</v>
      </c>
      <c r="T86" s="461">
        <v>0</v>
      </c>
      <c r="U86" s="461">
        <v>0</v>
      </c>
      <c r="V86" s="461">
        <v>0</v>
      </c>
    </row>
    <row r="87" spans="1:22" s="455" customFormat="1" hidden="1">
      <c r="A87" s="455" t="str">
        <f t="shared" si="2"/>
        <v>10005202300000</v>
      </c>
      <c r="B87" s="455" t="str">
        <f>VLOOKUP(LEFT($C$3:$C$2600,3),Table!$D$2:$E$88,2,FALSE)</f>
        <v>3rd Party Other manufacturing cost</v>
      </c>
      <c r="C87" s="455" t="str">
        <f t="shared" si="3"/>
        <v>5202300000</v>
      </c>
      <c r="D87" s="455" t="e">
        <f>VLOOKUP(G87,Table!$G$3:$H$21,2,FALSE)</f>
        <v>#N/A</v>
      </c>
      <c r="E87" s="452" t="s">
        <v>902</v>
      </c>
      <c r="F87" s="452" t="s">
        <v>582</v>
      </c>
      <c r="G87" s="452" t="s">
        <v>914</v>
      </c>
      <c r="H87" s="452" t="s">
        <v>915</v>
      </c>
      <c r="I87" s="453" t="s">
        <v>844</v>
      </c>
      <c r="J87" s="453">
        <v>991.44</v>
      </c>
      <c r="K87" s="461">
        <v>991.44</v>
      </c>
      <c r="L87" s="461">
        <v>0</v>
      </c>
      <c r="M87" s="461">
        <v>0</v>
      </c>
      <c r="N87" s="461">
        <v>0</v>
      </c>
      <c r="O87" s="461">
        <v>0</v>
      </c>
      <c r="P87" s="461">
        <v>0</v>
      </c>
      <c r="Q87" s="461">
        <v>0</v>
      </c>
      <c r="R87" s="461">
        <v>0</v>
      </c>
      <c r="S87" s="461">
        <v>0</v>
      </c>
      <c r="T87" s="461">
        <v>0</v>
      </c>
      <c r="U87" s="461">
        <v>0</v>
      </c>
      <c r="V87" s="461">
        <v>0</v>
      </c>
    </row>
    <row r="88" spans="1:22" s="455" customFormat="1" hidden="1">
      <c r="A88" s="455" t="str">
        <f t="shared" si="2"/>
        <v>10005202510000</v>
      </c>
      <c r="B88" s="455" t="str">
        <f>VLOOKUP(LEFT($C$3:$C$2600,3),Table!$D$2:$E$88,2,FALSE)</f>
        <v>3rd Party Other manufacturing cost</v>
      </c>
      <c r="C88" s="455" t="str">
        <f t="shared" si="3"/>
        <v>5202510000</v>
      </c>
      <c r="D88" s="455" t="e">
        <f>VLOOKUP(G88,Table!$G$3:$H$21,2,FALSE)</f>
        <v>#N/A</v>
      </c>
      <c r="E88" s="452" t="s">
        <v>902</v>
      </c>
      <c r="F88" s="452" t="s">
        <v>582</v>
      </c>
      <c r="G88" s="452" t="s">
        <v>916</v>
      </c>
      <c r="H88" s="452" t="s">
        <v>917</v>
      </c>
      <c r="I88" s="453" t="s">
        <v>844</v>
      </c>
      <c r="J88" s="453">
        <v>83759.86</v>
      </c>
      <c r="K88" s="461">
        <v>14768.96</v>
      </c>
      <c r="L88" s="461">
        <v>44619.040000000001</v>
      </c>
      <c r="M88" s="461">
        <v>22355.57</v>
      </c>
      <c r="N88" s="461">
        <v>0</v>
      </c>
      <c r="O88" s="461">
        <v>0</v>
      </c>
      <c r="P88" s="461">
        <v>0</v>
      </c>
      <c r="Q88" s="461">
        <v>0</v>
      </c>
      <c r="R88" s="461">
        <v>0</v>
      </c>
      <c r="S88" s="461">
        <v>0</v>
      </c>
      <c r="T88" s="461">
        <v>0</v>
      </c>
      <c r="U88" s="461">
        <v>0</v>
      </c>
      <c r="V88" s="461">
        <v>0</v>
      </c>
    </row>
    <row r="89" spans="1:22" s="455" customFormat="1" hidden="1">
      <c r="A89" s="455" t="str">
        <f t="shared" si="2"/>
        <v>10005202530000</v>
      </c>
      <c r="B89" s="455" t="str">
        <f>VLOOKUP(LEFT($C$3:$C$2600,3),Table!$D$2:$E$88,2,FALSE)</f>
        <v>3rd Party Other manufacturing cost</v>
      </c>
      <c r="C89" s="455" t="str">
        <f t="shared" si="3"/>
        <v>5202530000</v>
      </c>
      <c r="D89" s="455" t="e">
        <f>VLOOKUP(G89,Table!$G$3:$H$21,2,FALSE)</f>
        <v>#N/A</v>
      </c>
      <c r="E89" s="452" t="s">
        <v>902</v>
      </c>
      <c r="F89" s="452" t="s">
        <v>582</v>
      </c>
      <c r="G89" s="452" t="s">
        <v>918</v>
      </c>
      <c r="H89" s="452" t="s">
        <v>919</v>
      </c>
      <c r="I89" s="453" t="s">
        <v>844</v>
      </c>
      <c r="J89" s="453">
        <v>8061.8</v>
      </c>
      <c r="K89" s="461">
        <v>0</v>
      </c>
      <c r="L89" s="461">
        <v>1239.06</v>
      </c>
      <c r="M89" s="461">
        <v>6822.74</v>
      </c>
      <c r="N89" s="461">
        <v>0</v>
      </c>
      <c r="O89" s="461">
        <v>0</v>
      </c>
      <c r="P89" s="461">
        <v>0</v>
      </c>
      <c r="Q89" s="461">
        <v>0</v>
      </c>
      <c r="R89" s="461">
        <v>0</v>
      </c>
      <c r="S89" s="461">
        <v>0</v>
      </c>
      <c r="T89" s="461">
        <v>0</v>
      </c>
      <c r="U89" s="461">
        <v>0</v>
      </c>
      <c r="V89" s="461">
        <v>0</v>
      </c>
    </row>
    <row r="90" spans="1:22" s="455" customFormat="1" hidden="1">
      <c r="A90" s="455" t="str">
        <f t="shared" si="2"/>
        <v>10005203000000</v>
      </c>
      <c r="B90" s="455" t="str">
        <f>VLOOKUP(LEFT($C$3:$C$2600,3),Table!$D$2:$E$88,2,FALSE)</f>
        <v>3rd Party Other manufacturing cost</v>
      </c>
      <c r="C90" s="455" t="str">
        <f t="shared" si="3"/>
        <v>5203000000</v>
      </c>
      <c r="D90" s="455" t="e">
        <f>VLOOKUP(G90,Table!$G$3:$H$21,2,FALSE)</f>
        <v>#N/A</v>
      </c>
      <c r="E90" s="452" t="s">
        <v>902</v>
      </c>
      <c r="F90" s="452" t="s">
        <v>582</v>
      </c>
      <c r="G90" s="452" t="s">
        <v>920</v>
      </c>
      <c r="H90" s="452" t="s">
        <v>921</v>
      </c>
      <c r="I90" s="453" t="s">
        <v>844</v>
      </c>
      <c r="J90" s="453">
        <v>0</v>
      </c>
      <c r="K90" s="461">
        <v>0</v>
      </c>
      <c r="L90" s="461">
        <v>0</v>
      </c>
      <c r="M90" s="461">
        <v>772</v>
      </c>
      <c r="N90" s="461">
        <v>0</v>
      </c>
      <c r="O90" s="461">
        <v>0</v>
      </c>
      <c r="P90" s="461">
        <v>0</v>
      </c>
      <c r="Q90" s="461">
        <v>0</v>
      </c>
      <c r="R90" s="461">
        <v>0</v>
      </c>
      <c r="S90" s="461">
        <v>0</v>
      </c>
      <c r="T90" s="461">
        <v>0</v>
      </c>
      <c r="U90" s="461">
        <v>0</v>
      </c>
      <c r="V90" s="461">
        <v>0</v>
      </c>
    </row>
    <row r="91" spans="1:22" s="455" customFormat="1" hidden="1">
      <c r="A91" s="455" t="str">
        <f t="shared" si="2"/>
        <v>10005204000000</v>
      </c>
      <c r="B91" s="455" t="str">
        <f>VLOOKUP(LEFT($C$3:$C$2600,3),Table!$D$2:$E$88,2,FALSE)</f>
        <v>3rd Party Other manufacturing cost</v>
      </c>
      <c r="C91" s="455" t="str">
        <f t="shared" si="3"/>
        <v>5204000000</v>
      </c>
      <c r="D91" s="455" t="e">
        <f>VLOOKUP(G91,Table!$G$3:$H$21,2,FALSE)</f>
        <v>#N/A</v>
      </c>
      <c r="E91" s="452" t="s">
        <v>902</v>
      </c>
      <c r="F91" s="452" t="s">
        <v>582</v>
      </c>
      <c r="G91" s="452" t="s">
        <v>922</v>
      </c>
      <c r="H91" s="452" t="s">
        <v>923</v>
      </c>
      <c r="I91" s="453" t="s">
        <v>844</v>
      </c>
      <c r="J91" s="453">
        <v>119602.5</v>
      </c>
      <c r="K91" s="461">
        <v>59820.5</v>
      </c>
      <c r="L91" s="461">
        <v>38155</v>
      </c>
      <c r="M91" s="461">
        <v>21627</v>
      </c>
      <c r="N91" s="461">
        <v>0</v>
      </c>
      <c r="O91" s="461">
        <v>0</v>
      </c>
      <c r="P91" s="461">
        <v>0</v>
      </c>
      <c r="Q91" s="461">
        <v>0</v>
      </c>
      <c r="R91" s="461">
        <v>0</v>
      </c>
      <c r="S91" s="461">
        <v>0</v>
      </c>
      <c r="T91" s="461">
        <v>0</v>
      </c>
      <c r="U91" s="461">
        <v>0</v>
      </c>
      <c r="V91" s="461">
        <v>0</v>
      </c>
    </row>
    <row r="92" spans="1:22" s="455" customFormat="1" hidden="1">
      <c r="A92" s="455" t="str">
        <f t="shared" si="2"/>
        <v>10005204010000</v>
      </c>
      <c r="B92" s="455" t="str">
        <f>VLOOKUP(LEFT($C$3:$C$2600,3),Table!$D$2:$E$88,2,FALSE)</f>
        <v>3rd Party Other manufacturing cost</v>
      </c>
      <c r="C92" s="455" t="str">
        <f t="shared" si="3"/>
        <v>5204010000</v>
      </c>
      <c r="D92" s="455" t="e">
        <f>VLOOKUP(G92,Table!$G$3:$H$21,2,FALSE)</f>
        <v>#N/A</v>
      </c>
      <c r="E92" s="452" t="s">
        <v>902</v>
      </c>
      <c r="F92" s="452" t="s">
        <v>582</v>
      </c>
      <c r="G92" s="452" t="s">
        <v>924</v>
      </c>
      <c r="H92" s="452" t="s">
        <v>925</v>
      </c>
      <c r="I92" s="453" t="s">
        <v>844</v>
      </c>
      <c r="J92" s="453">
        <v>23651</v>
      </c>
      <c r="K92" s="461">
        <v>3821</v>
      </c>
      <c r="L92" s="461">
        <v>8941</v>
      </c>
      <c r="M92" s="461">
        <v>10889</v>
      </c>
      <c r="N92" s="461">
        <v>0</v>
      </c>
      <c r="O92" s="461">
        <v>0</v>
      </c>
      <c r="P92" s="461">
        <v>0</v>
      </c>
      <c r="Q92" s="461">
        <v>0</v>
      </c>
      <c r="R92" s="461">
        <v>0</v>
      </c>
      <c r="S92" s="461">
        <v>0</v>
      </c>
      <c r="T92" s="461">
        <v>0</v>
      </c>
      <c r="U92" s="461">
        <v>0</v>
      </c>
      <c r="V92" s="461">
        <v>0</v>
      </c>
    </row>
    <row r="93" spans="1:22" s="455" customFormat="1" hidden="1">
      <c r="A93" s="455" t="str">
        <f t="shared" si="2"/>
        <v>10005204020000</v>
      </c>
      <c r="B93" s="455" t="str">
        <f>VLOOKUP(LEFT($C$3:$C$2600,3),Table!$D$2:$E$88,2,FALSE)</f>
        <v>3rd Party Other manufacturing cost</v>
      </c>
      <c r="C93" s="455" t="str">
        <f t="shared" si="3"/>
        <v>5204020000</v>
      </c>
      <c r="D93" s="455" t="e">
        <f>VLOOKUP(G93,Table!$G$3:$H$21,2,FALSE)</f>
        <v>#N/A</v>
      </c>
      <c r="E93" s="452" t="s">
        <v>902</v>
      </c>
      <c r="F93" s="452" t="s">
        <v>582</v>
      </c>
      <c r="G93" s="452" t="s">
        <v>926</v>
      </c>
      <c r="H93" s="452" t="s">
        <v>927</v>
      </c>
      <c r="I93" s="453" t="s">
        <v>844</v>
      </c>
      <c r="J93" s="453">
        <v>219473</v>
      </c>
      <c r="K93" s="461">
        <v>61048</v>
      </c>
      <c r="L93" s="461">
        <v>52485</v>
      </c>
      <c r="M93" s="461">
        <v>105940</v>
      </c>
      <c r="N93" s="461">
        <v>0</v>
      </c>
      <c r="O93" s="461">
        <v>0</v>
      </c>
      <c r="P93" s="461">
        <v>0</v>
      </c>
      <c r="Q93" s="461">
        <v>0</v>
      </c>
      <c r="R93" s="461">
        <v>0</v>
      </c>
      <c r="S93" s="461">
        <v>0</v>
      </c>
      <c r="T93" s="461">
        <v>0</v>
      </c>
      <c r="U93" s="461">
        <v>0</v>
      </c>
      <c r="V93" s="461">
        <v>0</v>
      </c>
    </row>
    <row r="94" spans="1:22" s="455" customFormat="1" hidden="1">
      <c r="A94" s="455" t="str">
        <f t="shared" si="2"/>
        <v>10005204030000</v>
      </c>
      <c r="B94" s="455" t="str">
        <f>VLOOKUP(LEFT($C$3:$C$2600,3),Table!$D$2:$E$88,2,FALSE)</f>
        <v>3rd Party Other manufacturing cost</v>
      </c>
      <c r="C94" s="455" t="str">
        <f t="shared" si="3"/>
        <v>5204030000</v>
      </c>
      <c r="D94" s="455" t="e">
        <f>VLOOKUP(G94,Table!$G$3:$H$21,2,FALSE)</f>
        <v>#N/A</v>
      </c>
      <c r="E94" s="452" t="s">
        <v>902</v>
      </c>
      <c r="F94" s="452" t="s">
        <v>582</v>
      </c>
      <c r="G94" s="452" t="s">
        <v>928</v>
      </c>
      <c r="H94" s="452" t="s">
        <v>929</v>
      </c>
      <c r="I94" s="453" t="s">
        <v>844</v>
      </c>
      <c r="J94" s="453">
        <v>44658</v>
      </c>
      <c r="K94" s="461">
        <v>7551</v>
      </c>
      <c r="L94" s="461">
        <v>17641</v>
      </c>
      <c r="M94" s="461">
        <v>19466</v>
      </c>
      <c r="N94" s="461">
        <v>0</v>
      </c>
      <c r="O94" s="461">
        <v>0</v>
      </c>
      <c r="P94" s="461">
        <v>0</v>
      </c>
      <c r="Q94" s="461">
        <v>0</v>
      </c>
      <c r="R94" s="461">
        <v>0</v>
      </c>
      <c r="S94" s="461">
        <v>0</v>
      </c>
      <c r="T94" s="461">
        <v>0</v>
      </c>
      <c r="U94" s="461">
        <v>0</v>
      </c>
      <c r="V94" s="461">
        <v>0</v>
      </c>
    </row>
    <row r="95" spans="1:22" s="455" customFormat="1" hidden="1">
      <c r="A95" s="455" t="str">
        <f t="shared" si="2"/>
        <v>10005206001000</v>
      </c>
      <c r="B95" s="455" t="str">
        <f>VLOOKUP(LEFT($C$3:$C$2600,3),Table!$D$2:$E$88,2,FALSE)</f>
        <v>3rd Party Other manufacturing cost</v>
      </c>
      <c r="C95" s="455" t="str">
        <f t="shared" si="3"/>
        <v>5206001000</v>
      </c>
      <c r="D95" s="455" t="e">
        <f>VLOOKUP(G95,Table!$G$3:$H$21,2,FALSE)</f>
        <v>#N/A</v>
      </c>
      <c r="E95" s="452" t="s">
        <v>902</v>
      </c>
      <c r="F95" s="452" t="s">
        <v>582</v>
      </c>
      <c r="G95" s="452" t="s">
        <v>930</v>
      </c>
      <c r="H95" s="452" t="s">
        <v>931</v>
      </c>
      <c r="I95" s="453" t="s">
        <v>844</v>
      </c>
      <c r="J95" s="453">
        <v>67862.91</v>
      </c>
      <c r="K95" s="461">
        <v>18774.63</v>
      </c>
      <c r="L95" s="461">
        <v>24425.42</v>
      </c>
      <c r="M95" s="461">
        <v>24662.86</v>
      </c>
      <c r="N95" s="461">
        <v>0</v>
      </c>
      <c r="O95" s="461">
        <v>0</v>
      </c>
      <c r="P95" s="461">
        <v>0</v>
      </c>
      <c r="Q95" s="461">
        <v>0</v>
      </c>
      <c r="R95" s="461">
        <v>0</v>
      </c>
      <c r="S95" s="461">
        <v>0</v>
      </c>
      <c r="T95" s="461">
        <v>0</v>
      </c>
      <c r="U95" s="461">
        <v>0</v>
      </c>
      <c r="V95" s="461">
        <v>0</v>
      </c>
    </row>
    <row r="96" spans="1:22" s="455" customFormat="1" hidden="1">
      <c r="A96" s="455" t="str">
        <f t="shared" si="2"/>
        <v>10005207000000</v>
      </c>
      <c r="B96" s="455" t="str">
        <f>VLOOKUP(LEFT($C$3:$C$2600,3),Table!$D$2:$E$88,2,FALSE)</f>
        <v>3rd Party Other manufacturing cost</v>
      </c>
      <c r="C96" s="455" t="str">
        <f t="shared" si="3"/>
        <v>5207000000</v>
      </c>
      <c r="D96" s="455" t="e">
        <f>VLOOKUP(G96,Table!$G$3:$H$21,2,FALSE)</f>
        <v>#N/A</v>
      </c>
      <c r="E96" s="452" t="s">
        <v>902</v>
      </c>
      <c r="F96" s="452" t="s">
        <v>582</v>
      </c>
      <c r="G96" s="452" t="s">
        <v>932</v>
      </c>
      <c r="H96" s="452" t="s">
        <v>933</v>
      </c>
      <c r="I96" s="453" t="s">
        <v>844</v>
      </c>
      <c r="J96" s="453">
        <v>-228000</v>
      </c>
      <c r="K96" s="461">
        <v>0</v>
      </c>
      <c r="L96" s="461">
        <v>-228000</v>
      </c>
      <c r="M96" s="461">
        <v>0</v>
      </c>
      <c r="N96" s="461">
        <v>0</v>
      </c>
      <c r="O96" s="461">
        <v>0</v>
      </c>
      <c r="P96" s="461">
        <v>0</v>
      </c>
      <c r="Q96" s="461">
        <v>0</v>
      </c>
      <c r="R96" s="461">
        <v>0</v>
      </c>
      <c r="S96" s="461">
        <v>0</v>
      </c>
      <c r="T96" s="461">
        <v>0</v>
      </c>
      <c r="U96" s="461">
        <v>0</v>
      </c>
      <c r="V96" s="461">
        <v>0</v>
      </c>
    </row>
    <row r="97" spans="1:22" s="455" customFormat="1" hidden="1">
      <c r="A97" s="455" t="str">
        <f t="shared" si="2"/>
        <v>10005300100000</v>
      </c>
      <c r="B97" s="455" t="str">
        <f>VLOOKUP(LEFT($C$3:$C$2600,3),Table!$D$2:$E$88,2,FALSE)</f>
        <v>Selling &amp; admin expenses</v>
      </c>
      <c r="C97" s="455" t="str">
        <f t="shared" si="3"/>
        <v>5300100000</v>
      </c>
      <c r="D97" s="455" t="e">
        <f>VLOOKUP(G97,Table!$G$3:$H$21,2,FALSE)</f>
        <v>#N/A</v>
      </c>
      <c r="E97" s="452" t="s">
        <v>902</v>
      </c>
      <c r="F97" s="452" t="s">
        <v>582</v>
      </c>
      <c r="G97" s="452" t="s">
        <v>934</v>
      </c>
      <c r="H97" s="452" t="s">
        <v>935</v>
      </c>
      <c r="I97" s="453" t="s">
        <v>844</v>
      </c>
      <c r="J97" s="453">
        <v>1.25</v>
      </c>
      <c r="K97" s="461">
        <v>2.0099999999999998</v>
      </c>
      <c r="L97" s="461">
        <v>-0.02</v>
      </c>
      <c r="M97" s="461">
        <v>-0.74</v>
      </c>
      <c r="N97" s="461">
        <v>0</v>
      </c>
      <c r="O97" s="461">
        <v>0</v>
      </c>
      <c r="P97" s="461">
        <v>0</v>
      </c>
      <c r="Q97" s="461">
        <v>0</v>
      </c>
      <c r="R97" s="461">
        <v>0</v>
      </c>
      <c r="S97" s="461">
        <v>0</v>
      </c>
      <c r="T97" s="461">
        <v>0</v>
      </c>
      <c r="U97" s="461">
        <v>0</v>
      </c>
      <c r="V97" s="461">
        <v>0</v>
      </c>
    </row>
    <row r="98" spans="1:22" s="455" customFormat="1" hidden="1">
      <c r="A98" s="455" t="str">
        <f t="shared" si="2"/>
        <v>10005303501011</v>
      </c>
      <c r="B98" s="455" t="str">
        <f>VLOOKUP(LEFT($C$3:$C$2600,3),Table!$D$2:$E$88,2,FALSE)</f>
        <v>Selling &amp; admin expenses</v>
      </c>
      <c r="C98" s="455" t="str">
        <f t="shared" si="3"/>
        <v>5303501011</v>
      </c>
      <c r="D98" s="455" t="e">
        <f>VLOOKUP(G98,Table!$G$3:$H$21,2,FALSE)</f>
        <v>#N/A</v>
      </c>
      <c r="E98" s="452" t="s">
        <v>902</v>
      </c>
      <c r="F98" s="452" t="s">
        <v>582</v>
      </c>
      <c r="G98" s="452" t="s">
        <v>936</v>
      </c>
      <c r="H98" s="452" t="s">
        <v>937</v>
      </c>
      <c r="I98" s="453" t="s">
        <v>844</v>
      </c>
      <c r="J98" s="453">
        <v>32095.46</v>
      </c>
      <c r="K98" s="461">
        <v>9690.08</v>
      </c>
      <c r="L98" s="461">
        <v>10954.85</v>
      </c>
      <c r="M98" s="461">
        <v>11450.53</v>
      </c>
      <c r="N98" s="461">
        <v>0</v>
      </c>
      <c r="O98" s="461">
        <v>0</v>
      </c>
      <c r="P98" s="461">
        <v>0</v>
      </c>
      <c r="Q98" s="461">
        <v>0</v>
      </c>
      <c r="R98" s="461">
        <v>0</v>
      </c>
      <c r="S98" s="461">
        <v>0</v>
      </c>
      <c r="T98" s="461">
        <v>0</v>
      </c>
      <c r="U98" s="461">
        <v>0</v>
      </c>
      <c r="V98" s="461">
        <v>0</v>
      </c>
    </row>
    <row r="99" spans="1:22" s="455" customFormat="1" hidden="1">
      <c r="A99" s="455" t="str">
        <f t="shared" si="2"/>
        <v>10005303501012</v>
      </c>
      <c r="B99" s="455" t="str">
        <f>VLOOKUP(LEFT($C$3:$C$2600,3),Table!$D$2:$E$88,2,FALSE)</f>
        <v>Selling &amp; admin expenses</v>
      </c>
      <c r="C99" s="455" t="str">
        <f t="shared" si="3"/>
        <v>5303501012</v>
      </c>
      <c r="D99" s="455" t="e">
        <f>VLOOKUP(G99,Table!$G$3:$H$21,2,FALSE)</f>
        <v>#N/A</v>
      </c>
      <c r="E99" s="452" t="s">
        <v>902</v>
      </c>
      <c r="F99" s="452" t="s">
        <v>582</v>
      </c>
      <c r="G99" s="452" t="s">
        <v>2531</v>
      </c>
      <c r="H99" s="452" t="s">
        <v>2532</v>
      </c>
      <c r="I99" s="453" t="s">
        <v>844</v>
      </c>
      <c r="J99" s="453">
        <v>20051.27</v>
      </c>
      <c r="K99" s="461">
        <v>0</v>
      </c>
      <c r="L99" s="461">
        <v>18282.38</v>
      </c>
      <c r="M99" s="461">
        <v>1768.89</v>
      </c>
      <c r="N99" s="461">
        <v>0</v>
      </c>
      <c r="O99" s="461">
        <v>0</v>
      </c>
      <c r="P99" s="461">
        <v>0</v>
      </c>
      <c r="Q99" s="461">
        <v>0</v>
      </c>
      <c r="R99" s="461">
        <v>0</v>
      </c>
      <c r="S99" s="461">
        <v>0</v>
      </c>
      <c r="T99" s="461">
        <v>0</v>
      </c>
      <c r="U99" s="461">
        <v>0</v>
      </c>
      <c r="V99" s="461">
        <v>0</v>
      </c>
    </row>
    <row r="100" spans="1:22" s="455" customFormat="1" hidden="1">
      <c r="A100" s="455" t="str">
        <f t="shared" si="2"/>
        <v>10005303501013</v>
      </c>
      <c r="B100" s="455" t="str">
        <f>VLOOKUP(LEFT($C$3:$C$2600,3),Table!$D$2:$E$88,2,FALSE)</f>
        <v>Selling &amp; admin expenses</v>
      </c>
      <c r="C100" s="455" t="str">
        <f t="shared" si="3"/>
        <v>5303501013</v>
      </c>
      <c r="D100" s="455" t="e">
        <f>VLOOKUP(G100,Table!$G$3:$H$21,2,FALSE)</f>
        <v>#N/A</v>
      </c>
      <c r="E100" s="452" t="s">
        <v>902</v>
      </c>
      <c r="F100" s="452" t="s">
        <v>582</v>
      </c>
      <c r="G100" s="452" t="s">
        <v>938</v>
      </c>
      <c r="H100" s="452" t="s">
        <v>939</v>
      </c>
      <c r="I100" s="453" t="s">
        <v>844</v>
      </c>
      <c r="J100" s="453">
        <v>2550.9</v>
      </c>
      <c r="K100" s="461">
        <v>1382.6</v>
      </c>
      <c r="L100" s="461">
        <v>988.3</v>
      </c>
      <c r="M100" s="461">
        <v>180</v>
      </c>
      <c r="N100" s="461">
        <v>0</v>
      </c>
      <c r="O100" s="461">
        <v>0</v>
      </c>
      <c r="P100" s="461">
        <v>0</v>
      </c>
      <c r="Q100" s="461">
        <v>0</v>
      </c>
      <c r="R100" s="461">
        <v>0</v>
      </c>
      <c r="S100" s="461">
        <v>0</v>
      </c>
      <c r="T100" s="461">
        <v>0</v>
      </c>
      <c r="U100" s="461">
        <v>0</v>
      </c>
      <c r="V100" s="461">
        <v>0</v>
      </c>
    </row>
    <row r="101" spans="1:22" s="455" customFormat="1" hidden="1">
      <c r="A101" s="455" t="str">
        <f t="shared" si="2"/>
        <v>10005303501014</v>
      </c>
      <c r="B101" s="455" t="str">
        <f>VLOOKUP(LEFT($C$3:$C$2600,3),Table!$D$2:$E$88,2,FALSE)</f>
        <v>Selling &amp; admin expenses</v>
      </c>
      <c r="C101" s="455" t="str">
        <f t="shared" si="3"/>
        <v>5303501014</v>
      </c>
      <c r="D101" s="455" t="e">
        <f>VLOOKUP(G101,Table!$G$3:$H$21,2,FALSE)</f>
        <v>#N/A</v>
      </c>
      <c r="E101" s="452" t="s">
        <v>902</v>
      </c>
      <c r="F101" s="452" t="s">
        <v>582</v>
      </c>
      <c r="G101" s="452" t="s">
        <v>940</v>
      </c>
      <c r="H101" s="452" t="s">
        <v>941</v>
      </c>
      <c r="I101" s="453" t="s">
        <v>844</v>
      </c>
      <c r="J101" s="453">
        <v>11044.25</v>
      </c>
      <c r="K101" s="461">
        <v>20</v>
      </c>
      <c r="L101" s="461">
        <v>11024.25</v>
      </c>
      <c r="M101" s="461">
        <v>0</v>
      </c>
      <c r="N101" s="461">
        <v>0</v>
      </c>
      <c r="O101" s="461">
        <v>0</v>
      </c>
      <c r="P101" s="461">
        <v>0</v>
      </c>
      <c r="Q101" s="461">
        <v>0</v>
      </c>
      <c r="R101" s="461">
        <v>0</v>
      </c>
      <c r="S101" s="461">
        <v>0</v>
      </c>
      <c r="T101" s="461">
        <v>0</v>
      </c>
      <c r="U101" s="461">
        <v>0</v>
      </c>
      <c r="V101" s="461">
        <v>0</v>
      </c>
    </row>
    <row r="102" spans="1:22" s="455" customFormat="1" hidden="1">
      <c r="A102" s="455" t="str">
        <f t="shared" si="2"/>
        <v>10005303501015</v>
      </c>
      <c r="B102" s="455" t="str">
        <f>VLOOKUP(LEFT($C$3:$C$2600,3),Table!$D$2:$E$88,2,FALSE)</f>
        <v>Selling &amp; admin expenses</v>
      </c>
      <c r="C102" s="455" t="str">
        <f t="shared" si="3"/>
        <v>5303501015</v>
      </c>
      <c r="D102" s="455" t="e">
        <f>VLOOKUP(G102,Table!$G$3:$H$21,2,FALSE)</f>
        <v>#N/A</v>
      </c>
      <c r="E102" s="452" t="s">
        <v>902</v>
      </c>
      <c r="F102" s="452" t="s">
        <v>582</v>
      </c>
      <c r="G102" s="452" t="s">
        <v>942</v>
      </c>
      <c r="H102" s="452" t="s">
        <v>943</v>
      </c>
      <c r="I102" s="453" t="s">
        <v>844</v>
      </c>
      <c r="J102" s="453">
        <v>42</v>
      </c>
      <c r="K102" s="461">
        <v>5</v>
      </c>
      <c r="L102" s="461">
        <v>22</v>
      </c>
      <c r="M102" s="461">
        <v>15</v>
      </c>
      <c r="N102" s="461">
        <v>0</v>
      </c>
      <c r="O102" s="461">
        <v>0</v>
      </c>
      <c r="P102" s="461">
        <v>0</v>
      </c>
      <c r="Q102" s="461">
        <v>0</v>
      </c>
      <c r="R102" s="461">
        <v>0</v>
      </c>
      <c r="S102" s="461">
        <v>0</v>
      </c>
      <c r="T102" s="461">
        <v>0</v>
      </c>
      <c r="U102" s="461">
        <v>0</v>
      </c>
      <c r="V102" s="461">
        <v>0</v>
      </c>
    </row>
    <row r="103" spans="1:22" s="455" customFormat="1" hidden="1">
      <c r="A103" s="455" t="str">
        <f t="shared" si="2"/>
        <v>10005303501018</v>
      </c>
      <c r="B103" s="455" t="str">
        <f>VLOOKUP(LEFT($C$3:$C$2600,3),Table!$D$2:$E$88,2,FALSE)</f>
        <v>Selling &amp; admin expenses</v>
      </c>
      <c r="C103" s="455" t="str">
        <f t="shared" si="3"/>
        <v>5303501018</v>
      </c>
      <c r="D103" s="455" t="e">
        <f>VLOOKUP(G103,Table!$G$3:$H$21,2,FALSE)</f>
        <v>#N/A</v>
      </c>
      <c r="E103" s="452" t="s">
        <v>902</v>
      </c>
      <c r="F103" s="452" t="s">
        <v>582</v>
      </c>
      <c r="G103" s="452" t="s">
        <v>944</v>
      </c>
      <c r="H103" s="452" t="s">
        <v>945</v>
      </c>
      <c r="I103" s="453" t="s">
        <v>844</v>
      </c>
      <c r="J103" s="453">
        <v>323.29000000000002</v>
      </c>
      <c r="K103" s="461">
        <v>117.4</v>
      </c>
      <c r="L103" s="461">
        <v>106.56</v>
      </c>
      <c r="M103" s="461">
        <v>99.33</v>
      </c>
      <c r="N103" s="461">
        <v>0</v>
      </c>
      <c r="O103" s="461">
        <v>0</v>
      </c>
      <c r="P103" s="461">
        <v>0</v>
      </c>
      <c r="Q103" s="461">
        <v>0</v>
      </c>
      <c r="R103" s="461">
        <v>0</v>
      </c>
      <c r="S103" s="461">
        <v>0</v>
      </c>
      <c r="T103" s="461">
        <v>0</v>
      </c>
      <c r="U103" s="461">
        <v>0</v>
      </c>
      <c r="V103" s="461">
        <v>0</v>
      </c>
    </row>
    <row r="104" spans="1:22" s="455" customFormat="1" hidden="1">
      <c r="A104" s="455" t="str">
        <f t="shared" si="2"/>
        <v>10005303501111</v>
      </c>
      <c r="B104" s="455" t="str">
        <f>VLOOKUP(LEFT($C$3:$C$2600,3),Table!$D$2:$E$88,2,FALSE)</f>
        <v>Selling &amp; admin expenses</v>
      </c>
      <c r="C104" s="455" t="str">
        <f t="shared" si="3"/>
        <v>5303501111</v>
      </c>
      <c r="D104" s="455" t="e">
        <f>VLOOKUP(G104,Table!$G$3:$H$21,2,FALSE)</f>
        <v>#N/A</v>
      </c>
      <c r="E104" s="452" t="s">
        <v>902</v>
      </c>
      <c r="F104" s="452" t="s">
        <v>582</v>
      </c>
      <c r="G104" s="452" t="s">
        <v>946</v>
      </c>
      <c r="H104" s="452" t="s">
        <v>947</v>
      </c>
      <c r="I104" s="453" t="s">
        <v>844</v>
      </c>
      <c r="J104" s="453">
        <v>8447.31</v>
      </c>
      <c r="K104" s="461">
        <v>2580.17</v>
      </c>
      <c r="L104" s="461">
        <v>2913.84</v>
      </c>
      <c r="M104" s="461">
        <v>2953.3</v>
      </c>
      <c r="N104" s="461">
        <v>0</v>
      </c>
      <c r="O104" s="461">
        <v>0</v>
      </c>
      <c r="P104" s="461">
        <v>0</v>
      </c>
      <c r="Q104" s="461">
        <v>0</v>
      </c>
      <c r="R104" s="461">
        <v>0</v>
      </c>
      <c r="S104" s="461">
        <v>0</v>
      </c>
      <c r="T104" s="461">
        <v>0</v>
      </c>
      <c r="U104" s="461">
        <v>0</v>
      </c>
      <c r="V104" s="461">
        <v>0</v>
      </c>
    </row>
    <row r="105" spans="1:22" s="455" customFormat="1" hidden="1">
      <c r="A105" s="455" t="str">
        <f t="shared" si="2"/>
        <v>10005303501113</v>
      </c>
      <c r="B105" s="455" t="str">
        <f>VLOOKUP(LEFT($C$3:$C$2600,3),Table!$D$2:$E$88,2,FALSE)</f>
        <v>Selling &amp; admin expenses</v>
      </c>
      <c r="C105" s="455" t="str">
        <f t="shared" si="3"/>
        <v>5303501113</v>
      </c>
      <c r="D105" s="455" t="e">
        <f>VLOOKUP(G105,Table!$G$3:$H$21,2,FALSE)</f>
        <v>#N/A</v>
      </c>
      <c r="E105" s="452" t="s">
        <v>902</v>
      </c>
      <c r="F105" s="452" t="s">
        <v>582</v>
      </c>
      <c r="G105" s="452" t="s">
        <v>948</v>
      </c>
      <c r="H105" s="452" t="s">
        <v>949</v>
      </c>
      <c r="I105" s="453" t="s">
        <v>844</v>
      </c>
      <c r="J105" s="453">
        <v>598.79999999999995</v>
      </c>
      <c r="K105" s="461">
        <v>302.64999999999998</v>
      </c>
      <c r="L105" s="461">
        <v>296.14999999999998</v>
      </c>
      <c r="M105" s="461">
        <v>0</v>
      </c>
      <c r="N105" s="461">
        <v>0</v>
      </c>
      <c r="O105" s="461">
        <v>0</v>
      </c>
      <c r="P105" s="461">
        <v>0</v>
      </c>
      <c r="Q105" s="461">
        <v>0</v>
      </c>
      <c r="R105" s="461">
        <v>0</v>
      </c>
      <c r="S105" s="461">
        <v>0</v>
      </c>
      <c r="T105" s="461">
        <v>0</v>
      </c>
      <c r="U105" s="461">
        <v>0</v>
      </c>
      <c r="V105" s="461">
        <v>0</v>
      </c>
    </row>
    <row r="106" spans="1:22" s="455" customFormat="1">
      <c r="A106" s="455" t="str">
        <f t="shared" si="2"/>
        <v>10005501000000</v>
      </c>
      <c r="B106" s="455" t="str">
        <f>VLOOKUP(LEFT($C$3:$C$2600,3),Table!$D$2:$E$88,2,FALSE)</f>
        <v>3rd party Other income/(expense)</v>
      </c>
      <c r="C106" s="455" t="str">
        <f t="shared" si="3"/>
        <v>5501000000</v>
      </c>
      <c r="D106" s="455" t="e">
        <f>VLOOKUP(G106,Table!$G$3:$H$21,2,FALSE)</f>
        <v>#N/A</v>
      </c>
      <c r="E106" s="452" t="s">
        <v>902</v>
      </c>
      <c r="F106" s="452" t="s">
        <v>582</v>
      </c>
      <c r="G106" s="452" t="s">
        <v>950</v>
      </c>
      <c r="H106" s="452" t="s">
        <v>951</v>
      </c>
      <c r="I106" s="453" t="s">
        <v>844</v>
      </c>
      <c r="J106" s="453">
        <v>-11544</v>
      </c>
      <c r="K106" s="461">
        <v>0</v>
      </c>
      <c r="L106" s="461">
        <v>-4056</v>
      </c>
      <c r="M106" s="461">
        <v>-7488</v>
      </c>
      <c r="N106" s="461">
        <v>0</v>
      </c>
      <c r="O106" s="461">
        <v>0</v>
      </c>
      <c r="P106" s="461">
        <v>0</v>
      </c>
      <c r="Q106" s="461">
        <v>0</v>
      </c>
      <c r="R106" s="461">
        <v>0</v>
      </c>
      <c r="S106" s="461">
        <v>0</v>
      </c>
      <c r="T106" s="461">
        <v>0</v>
      </c>
      <c r="U106" s="461">
        <v>0</v>
      </c>
      <c r="V106" s="461">
        <v>0</v>
      </c>
    </row>
    <row r="107" spans="1:22" s="455" customFormat="1" hidden="1">
      <c r="A107" s="455" t="str">
        <f t="shared" si="2"/>
        <v>10005501310000</v>
      </c>
      <c r="B107" s="455" t="str">
        <f>VLOOKUP(LEFT($C$3:$C$2600,3),Table!$D$2:$E$88,2,FALSE)</f>
        <v>Disposal Income</v>
      </c>
      <c r="C107" s="455">
        <f t="shared" si="3"/>
        <v>548</v>
      </c>
      <c r="D107" s="455">
        <f>VLOOKUP(G107,Table!$G$3:$H$21,2,FALSE)</f>
        <v>548</v>
      </c>
      <c r="E107" s="452" t="s">
        <v>902</v>
      </c>
      <c r="F107" s="452" t="s">
        <v>582</v>
      </c>
      <c r="G107" s="452" t="s">
        <v>954</v>
      </c>
      <c r="H107" s="452" t="s">
        <v>955</v>
      </c>
      <c r="I107" s="453" t="s">
        <v>844</v>
      </c>
      <c r="J107" s="453">
        <v>-22531</v>
      </c>
      <c r="K107" s="461">
        <v>-16752</v>
      </c>
      <c r="L107" s="461">
        <v>-979</v>
      </c>
      <c r="M107" s="461">
        <v>-4800</v>
      </c>
      <c r="N107" s="461">
        <v>0</v>
      </c>
      <c r="O107" s="461">
        <v>0</v>
      </c>
      <c r="P107" s="461">
        <v>0</v>
      </c>
      <c r="Q107" s="461">
        <v>0</v>
      </c>
      <c r="R107" s="461">
        <v>0</v>
      </c>
      <c r="S107" s="461">
        <v>0</v>
      </c>
      <c r="T107" s="461">
        <v>0</v>
      </c>
      <c r="U107" s="461">
        <v>0</v>
      </c>
      <c r="V107" s="461">
        <v>0</v>
      </c>
    </row>
    <row r="108" spans="1:22" s="455" customFormat="1" hidden="1">
      <c r="A108" s="455" t="str">
        <f t="shared" si="2"/>
        <v>10005501400000</v>
      </c>
      <c r="B108" s="455" t="str">
        <f>VLOOKUP(LEFT($C$3:$C$2600,3),Table!$D$2:$E$88,2,FALSE)</f>
        <v>Interco income/Expenses</v>
      </c>
      <c r="C108" s="455">
        <f t="shared" si="3"/>
        <v>551</v>
      </c>
      <c r="D108" s="455">
        <f>VLOOKUP(G108,Table!$G$3:$H$21,2,FALSE)</f>
        <v>551</v>
      </c>
      <c r="E108" s="452" t="s">
        <v>902</v>
      </c>
      <c r="F108" s="452" t="s">
        <v>582</v>
      </c>
      <c r="G108" s="452" t="s">
        <v>956</v>
      </c>
      <c r="H108" s="452" t="s">
        <v>957</v>
      </c>
      <c r="I108" s="453" t="s">
        <v>844</v>
      </c>
      <c r="J108" s="453">
        <v>-153000</v>
      </c>
      <c r="K108" s="461">
        <v>-51000</v>
      </c>
      <c r="L108" s="461">
        <v>-51000</v>
      </c>
      <c r="M108" s="461">
        <v>-51000</v>
      </c>
      <c r="N108" s="461">
        <v>0</v>
      </c>
      <c r="O108" s="461">
        <v>0</v>
      </c>
      <c r="P108" s="461">
        <v>0</v>
      </c>
      <c r="Q108" s="461">
        <v>0</v>
      </c>
      <c r="R108" s="461">
        <v>0</v>
      </c>
      <c r="S108" s="461">
        <v>0</v>
      </c>
      <c r="T108" s="461">
        <v>0</v>
      </c>
      <c r="U108" s="461">
        <v>0</v>
      </c>
      <c r="V108" s="461">
        <v>0</v>
      </c>
    </row>
    <row r="109" spans="1:22" s="455" customFormat="1">
      <c r="A109" s="455" t="str">
        <f t="shared" si="2"/>
        <v>10005501500000</v>
      </c>
      <c r="B109" s="455" t="str">
        <f>VLOOKUP(LEFT($C$3:$C$2600,3),Table!$D$2:$E$88,2,FALSE)</f>
        <v>3rd party Other income/(expense)</v>
      </c>
      <c r="C109" s="455" t="str">
        <f t="shared" si="3"/>
        <v>5501500000</v>
      </c>
      <c r="D109" s="455" t="e">
        <f>VLOOKUP(G109,Table!$G$3:$H$21,2,FALSE)</f>
        <v>#N/A</v>
      </c>
      <c r="E109" s="452" t="s">
        <v>902</v>
      </c>
      <c r="F109" s="452" t="s">
        <v>582</v>
      </c>
      <c r="G109" s="452" t="s">
        <v>958</v>
      </c>
      <c r="H109" s="452" t="s">
        <v>959</v>
      </c>
      <c r="I109" s="453" t="s">
        <v>844</v>
      </c>
      <c r="J109" s="453">
        <v>-10350</v>
      </c>
      <c r="K109" s="461">
        <v>0</v>
      </c>
      <c r="L109" s="461">
        <v>-10350</v>
      </c>
      <c r="M109" s="461">
        <v>0</v>
      </c>
      <c r="N109" s="461">
        <v>0</v>
      </c>
      <c r="O109" s="461">
        <v>0</v>
      </c>
      <c r="P109" s="461">
        <v>0</v>
      </c>
      <c r="Q109" s="461">
        <v>0</v>
      </c>
      <c r="R109" s="461">
        <v>0</v>
      </c>
      <c r="S109" s="461">
        <v>0</v>
      </c>
      <c r="T109" s="461">
        <v>0</v>
      </c>
      <c r="U109" s="461">
        <v>0</v>
      </c>
      <c r="V109" s="461">
        <v>0</v>
      </c>
    </row>
    <row r="110" spans="1:22" s="455" customFormat="1">
      <c r="A110" s="455" t="str">
        <f t="shared" si="2"/>
        <v>10005506000000</v>
      </c>
      <c r="B110" s="455" t="str">
        <f>VLOOKUP(LEFT($C$3:$C$2600,3),Table!$D$2:$E$88,2,FALSE)</f>
        <v>3rd party Other income/(expense)</v>
      </c>
      <c r="C110" s="455" t="str">
        <f t="shared" si="3"/>
        <v>5506000000</v>
      </c>
      <c r="D110" s="455" t="e">
        <f>VLOOKUP(G110,Table!$G$3:$H$21,2,FALSE)</f>
        <v>#N/A</v>
      </c>
      <c r="E110" s="452" t="s">
        <v>902</v>
      </c>
      <c r="F110" s="452" t="s">
        <v>582</v>
      </c>
      <c r="G110" s="452" t="s">
        <v>960</v>
      </c>
      <c r="H110" s="452" t="s">
        <v>961</v>
      </c>
      <c r="I110" s="453" t="s">
        <v>844</v>
      </c>
      <c r="J110" s="453">
        <v>30889.86</v>
      </c>
      <c r="K110" s="461">
        <v>0</v>
      </c>
      <c r="L110" s="461">
        <v>10822.95</v>
      </c>
      <c r="M110" s="461">
        <v>20066.91</v>
      </c>
      <c r="N110" s="461">
        <v>0</v>
      </c>
      <c r="O110" s="461">
        <v>0</v>
      </c>
      <c r="P110" s="461">
        <v>0</v>
      </c>
      <c r="Q110" s="461">
        <v>0</v>
      </c>
      <c r="R110" s="461">
        <v>0</v>
      </c>
      <c r="S110" s="461">
        <v>0</v>
      </c>
      <c r="T110" s="461">
        <v>0</v>
      </c>
      <c r="U110" s="461">
        <v>0</v>
      </c>
      <c r="V110" s="461">
        <v>0</v>
      </c>
    </row>
    <row r="111" spans="1:22" s="455" customFormat="1" hidden="1">
      <c r="A111" s="455" t="str">
        <f t="shared" si="2"/>
        <v>10009000000000</v>
      </c>
      <c r="B111" s="455">
        <f>VLOOKUP(LEFT($C$3:$C$2600,3),Table!$D$2:$E$88,2,FALSE)</f>
        <v>0</v>
      </c>
      <c r="C111" s="455" t="str">
        <f t="shared" si="3"/>
        <v>9000000000</v>
      </c>
      <c r="D111" s="455" t="e">
        <f>VLOOKUP(G111,Table!$G$3:$H$21,2,FALSE)</f>
        <v>#N/A</v>
      </c>
      <c r="E111" s="452" t="s">
        <v>902</v>
      </c>
      <c r="F111" s="452" t="s">
        <v>582</v>
      </c>
      <c r="G111" s="452" t="s">
        <v>962</v>
      </c>
      <c r="H111" s="452" t="s">
        <v>963</v>
      </c>
      <c r="I111" s="453" t="s">
        <v>844</v>
      </c>
      <c r="J111" s="453">
        <v>-14332722.800000001</v>
      </c>
      <c r="K111" s="461">
        <v>-4613372.5</v>
      </c>
      <c r="L111" s="461">
        <v>-4916879.6500000004</v>
      </c>
      <c r="M111" s="461">
        <v>-4802470.6500000004</v>
      </c>
      <c r="N111" s="461">
        <v>0</v>
      </c>
      <c r="O111" s="461">
        <v>0</v>
      </c>
      <c r="P111" s="461">
        <v>0</v>
      </c>
      <c r="Q111" s="461">
        <v>0</v>
      </c>
      <c r="R111" s="461">
        <v>0</v>
      </c>
      <c r="S111" s="461">
        <v>0</v>
      </c>
      <c r="T111" s="461">
        <v>0</v>
      </c>
      <c r="U111" s="461">
        <v>0</v>
      </c>
      <c r="V111" s="461">
        <v>0</v>
      </c>
    </row>
    <row r="112" spans="1:22" s="455" customFormat="1" hidden="1">
      <c r="A112" s="455" t="str">
        <f t="shared" si="2"/>
        <v>11109101301500</v>
      </c>
      <c r="B112" s="455">
        <f>VLOOKUP(LEFT($C$3:$C$2600,3),Table!$D$2:$E$88,2,FALSE)</f>
        <v>0</v>
      </c>
      <c r="C112" s="455" t="str">
        <f t="shared" si="3"/>
        <v>9101301500</v>
      </c>
      <c r="D112" s="455" t="e">
        <f>VLOOKUP(G112,Table!$G$3:$H$21,2,FALSE)</f>
        <v>#N/A</v>
      </c>
      <c r="E112" s="452" t="s">
        <v>902</v>
      </c>
      <c r="F112" s="452" t="s">
        <v>964</v>
      </c>
      <c r="G112" s="452" t="s">
        <v>971</v>
      </c>
      <c r="H112" s="452" t="s">
        <v>972</v>
      </c>
      <c r="I112" s="453" t="s">
        <v>844</v>
      </c>
      <c r="J112" s="453">
        <v>4462.34</v>
      </c>
      <c r="K112" s="461">
        <v>1237.7</v>
      </c>
      <c r="L112" s="461">
        <v>1809.52</v>
      </c>
      <c r="M112" s="461">
        <v>1415.12</v>
      </c>
      <c r="N112" s="461">
        <v>0</v>
      </c>
      <c r="O112" s="461">
        <v>0</v>
      </c>
      <c r="P112" s="461">
        <v>0</v>
      </c>
      <c r="Q112" s="461">
        <v>0</v>
      </c>
      <c r="R112" s="461">
        <v>0</v>
      </c>
      <c r="S112" s="461">
        <v>0</v>
      </c>
      <c r="T112" s="461">
        <v>0</v>
      </c>
      <c r="U112" s="461">
        <v>0</v>
      </c>
      <c r="V112" s="461">
        <v>0</v>
      </c>
    </row>
    <row r="113" spans="1:22" s="455" customFormat="1" hidden="1">
      <c r="A113" s="455" t="str">
        <f t="shared" si="2"/>
        <v>11109101302500</v>
      </c>
      <c r="B113" s="455">
        <f>VLOOKUP(LEFT($C$3:$C$2600,3),Table!$D$2:$E$88,2,FALSE)</f>
        <v>0</v>
      </c>
      <c r="C113" s="455" t="str">
        <f t="shared" si="3"/>
        <v>9101302500</v>
      </c>
      <c r="D113" s="455" t="e">
        <f>VLOOKUP(G113,Table!$G$3:$H$21,2,FALSE)</f>
        <v>#N/A</v>
      </c>
      <c r="E113" s="452" t="s">
        <v>902</v>
      </c>
      <c r="F113" s="452" t="s">
        <v>964</v>
      </c>
      <c r="G113" s="452" t="s">
        <v>973</v>
      </c>
      <c r="H113" s="452" t="s">
        <v>974</v>
      </c>
      <c r="I113" s="453" t="s">
        <v>844</v>
      </c>
      <c r="J113" s="453">
        <v>95785.53</v>
      </c>
      <c r="K113" s="461">
        <v>29114.3</v>
      </c>
      <c r="L113" s="461">
        <v>23760.77</v>
      </c>
      <c r="M113" s="461">
        <v>49115.46</v>
      </c>
      <c r="N113" s="461">
        <v>0</v>
      </c>
      <c r="O113" s="461">
        <v>0</v>
      </c>
      <c r="P113" s="461">
        <v>0</v>
      </c>
      <c r="Q113" s="461">
        <v>0</v>
      </c>
      <c r="R113" s="461">
        <v>0</v>
      </c>
      <c r="S113" s="461">
        <v>0</v>
      </c>
      <c r="T113" s="461">
        <v>0</v>
      </c>
      <c r="U113" s="461">
        <v>0</v>
      </c>
      <c r="V113" s="461">
        <v>0</v>
      </c>
    </row>
    <row r="114" spans="1:22" s="455" customFormat="1" hidden="1">
      <c r="A114" s="455" t="str">
        <f t="shared" si="2"/>
        <v>11109101303400</v>
      </c>
      <c r="B114" s="455">
        <f>VLOOKUP(LEFT($C$3:$C$2600,3),Table!$D$2:$E$88,2,FALSE)</f>
        <v>0</v>
      </c>
      <c r="C114" s="455" t="str">
        <f t="shared" si="3"/>
        <v>9101303400</v>
      </c>
      <c r="D114" s="455" t="e">
        <f>VLOOKUP(G114,Table!$G$3:$H$21,2,FALSE)</f>
        <v>#N/A</v>
      </c>
      <c r="E114" s="452" t="s">
        <v>902</v>
      </c>
      <c r="F114" s="452" t="s">
        <v>964</v>
      </c>
      <c r="G114" s="452" t="s">
        <v>975</v>
      </c>
      <c r="H114" s="452" t="s">
        <v>976</v>
      </c>
      <c r="I114" s="453" t="s">
        <v>844</v>
      </c>
      <c r="J114" s="453">
        <v>67612.11</v>
      </c>
      <c r="K114" s="461">
        <v>14764.16</v>
      </c>
      <c r="L114" s="461">
        <v>28450.74</v>
      </c>
      <c r="M114" s="461">
        <v>24397.21</v>
      </c>
      <c r="N114" s="461">
        <v>0</v>
      </c>
      <c r="O114" s="461">
        <v>0</v>
      </c>
      <c r="P114" s="461">
        <v>0</v>
      </c>
      <c r="Q114" s="461">
        <v>0</v>
      </c>
      <c r="R114" s="461">
        <v>0</v>
      </c>
      <c r="S114" s="461">
        <v>0</v>
      </c>
      <c r="T114" s="461">
        <v>0</v>
      </c>
      <c r="U114" s="461">
        <v>0</v>
      </c>
      <c r="V114" s="461">
        <v>0</v>
      </c>
    </row>
    <row r="115" spans="1:22" s="455" customFormat="1" hidden="1">
      <c r="A115" s="455" t="str">
        <f t="shared" si="2"/>
        <v>11109101303500</v>
      </c>
      <c r="B115" s="455">
        <f>VLOOKUP(LEFT($C$3:$C$2600,3),Table!$D$2:$E$88,2,FALSE)</f>
        <v>0</v>
      </c>
      <c r="C115" s="455" t="str">
        <f t="shared" si="3"/>
        <v>9101303500</v>
      </c>
      <c r="D115" s="455" t="e">
        <f>VLOOKUP(G115,Table!$G$3:$H$21,2,FALSE)</f>
        <v>#N/A</v>
      </c>
      <c r="E115" s="452" t="s">
        <v>902</v>
      </c>
      <c r="F115" s="452" t="s">
        <v>964</v>
      </c>
      <c r="G115" s="452" t="s">
        <v>977</v>
      </c>
      <c r="H115" s="452" t="s">
        <v>978</v>
      </c>
      <c r="I115" s="453" t="s">
        <v>844</v>
      </c>
      <c r="J115" s="453">
        <v>130826.15</v>
      </c>
      <c r="K115" s="461">
        <v>25139.74</v>
      </c>
      <c r="L115" s="461">
        <v>49379.66</v>
      </c>
      <c r="M115" s="461">
        <v>56306.75</v>
      </c>
      <c r="N115" s="461">
        <v>0</v>
      </c>
      <c r="O115" s="461">
        <v>0</v>
      </c>
      <c r="P115" s="461">
        <v>0</v>
      </c>
      <c r="Q115" s="461">
        <v>0</v>
      </c>
      <c r="R115" s="461">
        <v>0</v>
      </c>
      <c r="S115" s="461">
        <v>0</v>
      </c>
      <c r="T115" s="461">
        <v>0</v>
      </c>
      <c r="U115" s="461">
        <v>0</v>
      </c>
      <c r="V115" s="461">
        <v>0</v>
      </c>
    </row>
    <row r="116" spans="1:22" s="455" customFormat="1" hidden="1">
      <c r="A116" s="455" t="str">
        <f t="shared" si="2"/>
        <v>11109101303900</v>
      </c>
      <c r="B116" s="455">
        <f>VLOOKUP(LEFT($C$3:$C$2600,3),Table!$D$2:$E$88,2,FALSE)</f>
        <v>0</v>
      </c>
      <c r="C116" s="455" t="str">
        <f t="shared" si="3"/>
        <v>9101303900</v>
      </c>
      <c r="D116" s="455" t="e">
        <f>VLOOKUP(G116,Table!$G$3:$H$21,2,FALSE)</f>
        <v>#N/A</v>
      </c>
      <c r="E116" s="452" t="s">
        <v>902</v>
      </c>
      <c r="F116" s="452" t="s">
        <v>964</v>
      </c>
      <c r="G116" s="452" t="s">
        <v>979</v>
      </c>
      <c r="H116" s="452" t="s">
        <v>980</v>
      </c>
      <c r="I116" s="453" t="s">
        <v>844</v>
      </c>
      <c r="J116" s="453">
        <v>13523.51</v>
      </c>
      <c r="K116" s="461">
        <v>3897.85</v>
      </c>
      <c r="L116" s="461">
        <v>4857.16</v>
      </c>
      <c r="M116" s="461">
        <v>4768.5</v>
      </c>
      <c r="N116" s="461">
        <v>0</v>
      </c>
      <c r="O116" s="461">
        <v>0</v>
      </c>
      <c r="P116" s="461">
        <v>0</v>
      </c>
      <c r="Q116" s="461">
        <v>0</v>
      </c>
      <c r="R116" s="461">
        <v>0</v>
      </c>
      <c r="S116" s="461">
        <v>0</v>
      </c>
      <c r="T116" s="461">
        <v>0</v>
      </c>
      <c r="U116" s="461">
        <v>0</v>
      </c>
      <c r="V116" s="461">
        <v>0</v>
      </c>
    </row>
    <row r="117" spans="1:22" s="455" customFormat="1" hidden="1">
      <c r="A117" s="455" t="str">
        <f t="shared" si="2"/>
        <v>11109101304100</v>
      </c>
      <c r="B117" s="455">
        <f>VLOOKUP(LEFT($C$3:$C$2600,3),Table!$D$2:$E$88,2,FALSE)</f>
        <v>0</v>
      </c>
      <c r="C117" s="455" t="str">
        <f t="shared" si="3"/>
        <v>9101304100</v>
      </c>
      <c r="D117" s="455" t="e">
        <f>VLOOKUP(G117,Table!$G$3:$H$21,2,FALSE)</f>
        <v>#N/A</v>
      </c>
      <c r="E117" s="452" t="s">
        <v>902</v>
      </c>
      <c r="F117" s="452" t="s">
        <v>964</v>
      </c>
      <c r="G117" s="452" t="s">
        <v>981</v>
      </c>
      <c r="H117" s="452" t="s">
        <v>982</v>
      </c>
      <c r="I117" s="453" t="s">
        <v>844</v>
      </c>
      <c r="J117" s="453">
        <v>14974.04</v>
      </c>
      <c r="K117" s="461">
        <v>3509.04</v>
      </c>
      <c r="L117" s="461">
        <v>10590</v>
      </c>
      <c r="M117" s="461">
        <v>875</v>
      </c>
      <c r="N117" s="461">
        <v>0</v>
      </c>
      <c r="O117" s="461">
        <v>0</v>
      </c>
      <c r="P117" s="461">
        <v>0</v>
      </c>
      <c r="Q117" s="461">
        <v>0</v>
      </c>
      <c r="R117" s="461">
        <v>0</v>
      </c>
      <c r="S117" s="461">
        <v>0</v>
      </c>
      <c r="T117" s="461">
        <v>0</v>
      </c>
      <c r="U117" s="461">
        <v>0</v>
      </c>
      <c r="V117" s="461">
        <v>0</v>
      </c>
    </row>
    <row r="118" spans="1:22" s="455" customFormat="1" hidden="1">
      <c r="A118" s="455" t="str">
        <f t="shared" si="2"/>
        <v>11109101305000</v>
      </c>
      <c r="B118" s="455">
        <f>VLOOKUP(LEFT($C$3:$C$2600,3),Table!$D$2:$E$88,2,FALSE)</f>
        <v>0</v>
      </c>
      <c r="C118" s="455" t="str">
        <f t="shared" si="3"/>
        <v>9101305000</v>
      </c>
      <c r="D118" s="455" t="e">
        <f>VLOOKUP(G118,Table!$G$3:$H$21,2,FALSE)</f>
        <v>#N/A</v>
      </c>
      <c r="E118" s="452" t="s">
        <v>902</v>
      </c>
      <c r="F118" s="452" t="s">
        <v>964</v>
      </c>
      <c r="G118" s="452" t="s">
        <v>983</v>
      </c>
      <c r="H118" s="452" t="s">
        <v>984</v>
      </c>
      <c r="I118" s="453" t="s">
        <v>844</v>
      </c>
      <c r="J118" s="453">
        <v>73739.539999999994</v>
      </c>
      <c r="K118" s="461">
        <v>41459.54</v>
      </c>
      <c r="L118" s="461">
        <v>16440</v>
      </c>
      <c r="M118" s="461">
        <v>15840</v>
      </c>
      <c r="N118" s="461">
        <v>0</v>
      </c>
      <c r="O118" s="461">
        <v>0</v>
      </c>
      <c r="P118" s="461">
        <v>0</v>
      </c>
      <c r="Q118" s="461">
        <v>0</v>
      </c>
      <c r="R118" s="461">
        <v>0</v>
      </c>
      <c r="S118" s="461">
        <v>0</v>
      </c>
      <c r="T118" s="461">
        <v>0</v>
      </c>
      <c r="U118" s="461">
        <v>0</v>
      </c>
      <c r="V118" s="461">
        <v>0</v>
      </c>
    </row>
    <row r="119" spans="1:22" s="455" customFormat="1" hidden="1">
      <c r="A119" s="455" t="str">
        <f t="shared" si="2"/>
        <v>11109101305100</v>
      </c>
      <c r="B119" s="455">
        <f>VLOOKUP(LEFT($C$3:$C$2600,3),Table!$D$2:$E$88,2,FALSE)</f>
        <v>0</v>
      </c>
      <c r="C119" s="455" t="str">
        <f t="shared" si="3"/>
        <v>9101305100</v>
      </c>
      <c r="D119" s="455" t="e">
        <f>VLOOKUP(G119,Table!$G$3:$H$21,2,FALSE)</f>
        <v>#N/A</v>
      </c>
      <c r="E119" s="452" t="s">
        <v>902</v>
      </c>
      <c r="F119" s="452" t="s">
        <v>964</v>
      </c>
      <c r="G119" s="452" t="s">
        <v>985</v>
      </c>
      <c r="H119" s="452" t="s">
        <v>986</v>
      </c>
      <c r="I119" s="453" t="s">
        <v>844</v>
      </c>
      <c r="J119" s="453">
        <v>308865.09999999998</v>
      </c>
      <c r="K119" s="461">
        <v>90191.78</v>
      </c>
      <c r="L119" s="461">
        <v>102246.57</v>
      </c>
      <c r="M119" s="461">
        <v>116426.75</v>
      </c>
      <c r="N119" s="461">
        <v>0</v>
      </c>
      <c r="O119" s="461">
        <v>0</v>
      </c>
      <c r="P119" s="461">
        <v>0</v>
      </c>
      <c r="Q119" s="461">
        <v>0</v>
      </c>
      <c r="R119" s="461">
        <v>0</v>
      </c>
      <c r="S119" s="461">
        <v>0</v>
      </c>
      <c r="T119" s="461">
        <v>0</v>
      </c>
      <c r="U119" s="461">
        <v>0</v>
      </c>
      <c r="V119" s="461">
        <v>0</v>
      </c>
    </row>
    <row r="120" spans="1:22" s="455" customFormat="1" hidden="1">
      <c r="A120" s="455" t="str">
        <f t="shared" si="2"/>
        <v>11109101305200</v>
      </c>
      <c r="B120" s="455">
        <f>VLOOKUP(LEFT($C$3:$C$2600,3),Table!$D$2:$E$88,2,FALSE)</f>
        <v>0</v>
      </c>
      <c r="C120" s="455" t="str">
        <f t="shared" si="3"/>
        <v>9101305200</v>
      </c>
      <c r="D120" s="455" t="e">
        <f>VLOOKUP(G120,Table!$G$3:$H$21,2,FALSE)</f>
        <v>#N/A</v>
      </c>
      <c r="E120" s="452" t="s">
        <v>902</v>
      </c>
      <c r="F120" s="452" t="s">
        <v>964</v>
      </c>
      <c r="G120" s="452" t="s">
        <v>987</v>
      </c>
      <c r="H120" s="452" t="s">
        <v>988</v>
      </c>
      <c r="I120" s="453" t="s">
        <v>844</v>
      </c>
      <c r="J120" s="453">
        <v>61016.79</v>
      </c>
      <c r="K120" s="461">
        <v>13090.9</v>
      </c>
      <c r="L120" s="461">
        <v>15748</v>
      </c>
      <c r="M120" s="461">
        <v>32177.89</v>
      </c>
      <c r="N120" s="461">
        <v>0</v>
      </c>
      <c r="O120" s="461">
        <v>0</v>
      </c>
      <c r="P120" s="461">
        <v>0</v>
      </c>
      <c r="Q120" s="461">
        <v>0</v>
      </c>
      <c r="R120" s="461">
        <v>0</v>
      </c>
      <c r="S120" s="461">
        <v>0</v>
      </c>
      <c r="T120" s="461">
        <v>0</v>
      </c>
      <c r="U120" s="461">
        <v>0</v>
      </c>
      <c r="V120" s="461">
        <v>0</v>
      </c>
    </row>
    <row r="121" spans="1:22" s="455" customFormat="1" hidden="1">
      <c r="A121" s="455" t="str">
        <f t="shared" si="2"/>
        <v>11109101305400</v>
      </c>
      <c r="B121" s="455">
        <f>VLOOKUP(LEFT($C$3:$C$2600,3),Table!$D$2:$E$88,2,FALSE)</f>
        <v>0</v>
      </c>
      <c r="C121" s="455" t="str">
        <f t="shared" si="3"/>
        <v>9101305400</v>
      </c>
      <c r="D121" s="455" t="e">
        <f>VLOOKUP(G121,Table!$G$3:$H$21,2,FALSE)</f>
        <v>#N/A</v>
      </c>
      <c r="E121" s="452" t="s">
        <v>902</v>
      </c>
      <c r="F121" s="452" t="s">
        <v>964</v>
      </c>
      <c r="G121" s="452" t="s">
        <v>989</v>
      </c>
      <c r="H121" s="452" t="s">
        <v>990</v>
      </c>
      <c r="I121" s="453" t="s">
        <v>844</v>
      </c>
      <c r="J121" s="453">
        <v>20270</v>
      </c>
      <c r="K121" s="461">
        <v>6610</v>
      </c>
      <c r="L121" s="461">
        <v>5950</v>
      </c>
      <c r="M121" s="461">
        <v>7710</v>
      </c>
      <c r="N121" s="461">
        <v>0</v>
      </c>
      <c r="O121" s="461">
        <v>0</v>
      </c>
      <c r="P121" s="461">
        <v>0</v>
      </c>
      <c r="Q121" s="461">
        <v>0</v>
      </c>
      <c r="R121" s="461">
        <v>0</v>
      </c>
      <c r="S121" s="461">
        <v>0</v>
      </c>
      <c r="T121" s="461">
        <v>0</v>
      </c>
      <c r="U121" s="461">
        <v>0</v>
      </c>
      <c r="V121" s="461">
        <v>0</v>
      </c>
    </row>
    <row r="122" spans="1:22" s="455" customFormat="1" hidden="1">
      <c r="A122" s="455" t="str">
        <f t="shared" si="2"/>
        <v>11109101305600</v>
      </c>
      <c r="B122" s="455">
        <f>VLOOKUP(LEFT($C$3:$C$2600,3),Table!$D$2:$E$88,2,FALSE)</f>
        <v>0</v>
      </c>
      <c r="C122" s="455" t="str">
        <f t="shared" si="3"/>
        <v>9101305600</v>
      </c>
      <c r="D122" s="455" t="e">
        <f>VLOOKUP(G122,Table!$G$3:$H$21,2,FALSE)</f>
        <v>#N/A</v>
      </c>
      <c r="E122" s="452" t="s">
        <v>902</v>
      </c>
      <c r="F122" s="452" t="s">
        <v>964</v>
      </c>
      <c r="G122" s="452" t="s">
        <v>991</v>
      </c>
      <c r="H122" s="452" t="s">
        <v>992</v>
      </c>
      <c r="I122" s="453" t="s">
        <v>844</v>
      </c>
      <c r="J122" s="453">
        <v>61016.73</v>
      </c>
      <c r="K122" s="461">
        <v>11046.03</v>
      </c>
      <c r="L122" s="461">
        <v>45570.7</v>
      </c>
      <c r="M122" s="461">
        <v>17640</v>
      </c>
      <c r="N122" s="461">
        <v>0</v>
      </c>
      <c r="O122" s="461">
        <v>0</v>
      </c>
      <c r="P122" s="461">
        <v>0</v>
      </c>
      <c r="Q122" s="461">
        <v>0</v>
      </c>
      <c r="R122" s="461">
        <v>0</v>
      </c>
      <c r="S122" s="461">
        <v>0</v>
      </c>
      <c r="T122" s="461">
        <v>0</v>
      </c>
      <c r="U122" s="461">
        <v>0</v>
      </c>
      <c r="V122" s="461">
        <v>0</v>
      </c>
    </row>
    <row r="123" spans="1:22" s="455" customFormat="1" hidden="1">
      <c r="A123" s="455" t="str">
        <f t="shared" si="2"/>
        <v>11109150801000</v>
      </c>
      <c r="B123" s="455">
        <f>VLOOKUP(LEFT($C$3:$C$2600,3),Table!$D$2:$E$88,2,FALSE)</f>
        <v>0</v>
      </c>
      <c r="C123" s="455" t="str">
        <f t="shared" si="3"/>
        <v>9150801000</v>
      </c>
      <c r="D123" s="455" t="e">
        <f>VLOOKUP(G123,Table!$G$3:$H$21,2,FALSE)</f>
        <v>#N/A</v>
      </c>
      <c r="E123" s="452" t="s">
        <v>902</v>
      </c>
      <c r="F123" s="452" t="s">
        <v>964</v>
      </c>
      <c r="G123" s="452" t="s">
        <v>993</v>
      </c>
      <c r="H123" s="452" t="s">
        <v>994</v>
      </c>
      <c r="I123" s="453" t="s">
        <v>844</v>
      </c>
      <c r="J123" s="453">
        <v>41580</v>
      </c>
      <c r="K123" s="461">
        <v>13860</v>
      </c>
      <c r="L123" s="461">
        <v>13860</v>
      </c>
      <c r="M123" s="461">
        <v>13860</v>
      </c>
      <c r="N123" s="461">
        <v>0</v>
      </c>
      <c r="O123" s="461">
        <v>0</v>
      </c>
      <c r="P123" s="461">
        <v>0</v>
      </c>
      <c r="Q123" s="461">
        <v>0</v>
      </c>
      <c r="R123" s="461">
        <v>0</v>
      </c>
      <c r="S123" s="461">
        <v>0</v>
      </c>
      <c r="T123" s="461">
        <v>0</v>
      </c>
      <c r="U123" s="461">
        <v>0</v>
      </c>
      <c r="V123" s="461">
        <v>0</v>
      </c>
    </row>
    <row r="124" spans="1:22" s="455" customFormat="1" hidden="1">
      <c r="A124" s="455" t="str">
        <f t="shared" si="2"/>
        <v>11109150801200</v>
      </c>
      <c r="B124" s="455">
        <f>VLOOKUP(LEFT($C$3:$C$2600,3),Table!$D$2:$E$88,2,FALSE)</f>
        <v>0</v>
      </c>
      <c r="C124" s="455" t="str">
        <f t="shared" si="3"/>
        <v>9150801200</v>
      </c>
      <c r="D124" s="455" t="e">
        <f>VLOOKUP(G124,Table!$G$3:$H$21,2,FALSE)</f>
        <v>#N/A</v>
      </c>
      <c r="E124" s="452" t="s">
        <v>902</v>
      </c>
      <c r="F124" s="452" t="s">
        <v>964</v>
      </c>
      <c r="G124" s="452" t="s">
        <v>995</v>
      </c>
      <c r="H124" s="452" t="s">
        <v>996</v>
      </c>
      <c r="I124" s="453" t="s">
        <v>844</v>
      </c>
      <c r="J124" s="453">
        <v>1350</v>
      </c>
      <c r="K124" s="461">
        <v>450</v>
      </c>
      <c r="L124" s="461">
        <v>450</v>
      </c>
      <c r="M124" s="461">
        <v>450</v>
      </c>
      <c r="N124" s="461">
        <v>0</v>
      </c>
      <c r="O124" s="461">
        <v>0</v>
      </c>
      <c r="P124" s="461">
        <v>0</v>
      </c>
      <c r="Q124" s="461">
        <v>0</v>
      </c>
      <c r="R124" s="461">
        <v>0</v>
      </c>
      <c r="S124" s="461">
        <v>0</v>
      </c>
      <c r="T124" s="461">
        <v>0</v>
      </c>
      <c r="U124" s="461">
        <v>0</v>
      </c>
      <c r="V124" s="461">
        <v>0</v>
      </c>
    </row>
    <row r="125" spans="1:22" s="455" customFormat="1" hidden="1">
      <c r="A125" s="455" t="str">
        <f t="shared" si="2"/>
        <v>11109150801400</v>
      </c>
      <c r="B125" s="455">
        <f>VLOOKUP(LEFT($C$3:$C$2600,3),Table!$D$2:$E$88,2,FALSE)</f>
        <v>0</v>
      </c>
      <c r="C125" s="455" t="str">
        <f t="shared" si="3"/>
        <v>9150801400</v>
      </c>
      <c r="D125" s="455" t="e">
        <f>VLOOKUP(G125,Table!$G$3:$H$21,2,FALSE)</f>
        <v>#N/A</v>
      </c>
      <c r="E125" s="452" t="s">
        <v>902</v>
      </c>
      <c r="F125" s="452" t="s">
        <v>964</v>
      </c>
      <c r="G125" s="452" t="s">
        <v>997</v>
      </c>
      <c r="H125" s="452" t="s">
        <v>998</v>
      </c>
      <c r="I125" s="453" t="s">
        <v>844</v>
      </c>
      <c r="J125" s="453">
        <v>6441</v>
      </c>
      <c r="K125" s="461">
        <v>2147</v>
      </c>
      <c r="L125" s="461">
        <v>2147</v>
      </c>
      <c r="M125" s="461">
        <v>2147</v>
      </c>
      <c r="N125" s="461">
        <v>0</v>
      </c>
      <c r="O125" s="461">
        <v>0</v>
      </c>
      <c r="P125" s="461">
        <v>0</v>
      </c>
      <c r="Q125" s="461">
        <v>0</v>
      </c>
      <c r="R125" s="461">
        <v>0</v>
      </c>
      <c r="S125" s="461">
        <v>0</v>
      </c>
      <c r="T125" s="461">
        <v>0</v>
      </c>
      <c r="U125" s="461">
        <v>0</v>
      </c>
      <c r="V125" s="461">
        <v>0</v>
      </c>
    </row>
    <row r="126" spans="1:22" s="455" customFormat="1" hidden="1">
      <c r="A126" s="455" t="str">
        <f t="shared" si="2"/>
        <v>11109150801500</v>
      </c>
      <c r="B126" s="455">
        <f>VLOOKUP(LEFT($C$3:$C$2600,3),Table!$D$2:$E$88,2,FALSE)</f>
        <v>0</v>
      </c>
      <c r="C126" s="455" t="str">
        <f t="shared" si="3"/>
        <v>9150801500</v>
      </c>
      <c r="D126" s="455" t="e">
        <f>VLOOKUP(G126,Table!$G$3:$H$21,2,FALSE)</f>
        <v>#N/A</v>
      </c>
      <c r="E126" s="452" t="s">
        <v>902</v>
      </c>
      <c r="F126" s="452" t="s">
        <v>964</v>
      </c>
      <c r="G126" s="452" t="s">
        <v>999</v>
      </c>
      <c r="H126" s="452" t="s">
        <v>1000</v>
      </c>
      <c r="I126" s="453" t="s">
        <v>844</v>
      </c>
      <c r="J126" s="453">
        <v>464.85</v>
      </c>
      <c r="K126" s="461">
        <v>154.94999999999999</v>
      </c>
      <c r="L126" s="461">
        <v>154.94999999999999</v>
      </c>
      <c r="M126" s="461">
        <v>154.94999999999999</v>
      </c>
      <c r="N126" s="461">
        <v>0</v>
      </c>
      <c r="O126" s="461">
        <v>0</v>
      </c>
      <c r="P126" s="461">
        <v>0</v>
      </c>
      <c r="Q126" s="461">
        <v>0</v>
      </c>
      <c r="R126" s="461">
        <v>0</v>
      </c>
      <c r="S126" s="461">
        <v>0</v>
      </c>
      <c r="T126" s="461">
        <v>0</v>
      </c>
      <c r="U126" s="461">
        <v>0</v>
      </c>
      <c r="V126" s="461">
        <v>0</v>
      </c>
    </row>
    <row r="127" spans="1:22" s="455" customFormat="1" hidden="1">
      <c r="A127" s="455" t="str">
        <f t="shared" si="2"/>
        <v>11109150801600</v>
      </c>
      <c r="B127" s="455">
        <f>VLOOKUP(LEFT($C$3:$C$2600,3),Table!$D$2:$E$88,2,FALSE)</f>
        <v>0</v>
      </c>
      <c r="C127" s="455" t="str">
        <f t="shared" si="3"/>
        <v>9150801600</v>
      </c>
      <c r="D127" s="455" t="e">
        <f>VLOOKUP(G127,Table!$G$3:$H$21,2,FALSE)</f>
        <v>#N/A</v>
      </c>
      <c r="E127" s="452" t="s">
        <v>902</v>
      </c>
      <c r="F127" s="452" t="s">
        <v>964</v>
      </c>
      <c r="G127" s="452" t="s">
        <v>1001</v>
      </c>
      <c r="H127" s="452" t="s">
        <v>1002</v>
      </c>
      <c r="I127" s="453" t="s">
        <v>844</v>
      </c>
      <c r="J127" s="453">
        <v>13641</v>
      </c>
      <c r="K127" s="461">
        <v>4547</v>
      </c>
      <c r="L127" s="461">
        <v>4547</v>
      </c>
      <c r="M127" s="461">
        <v>4547</v>
      </c>
      <c r="N127" s="461">
        <v>0</v>
      </c>
      <c r="O127" s="461">
        <v>0</v>
      </c>
      <c r="P127" s="461">
        <v>0</v>
      </c>
      <c r="Q127" s="461">
        <v>0</v>
      </c>
      <c r="R127" s="461">
        <v>0</v>
      </c>
      <c r="S127" s="461">
        <v>0</v>
      </c>
      <c r="T127" s="461">
        <v>0</v>
      </c>
      <c r="U127" s="461">
        <v>0</v>
      </c>
      <c r="V127" s="461">
        <v>0</v>
      </c>
    </row>
    <row r="128" spans="1:22" s="455" customFormat="1" hidden="1">
      <c r="A128" s="455" t="str">
        <f t="shared" si="2"/>
        <v>11109150801800</v>
      </c>
      <c r="B128" s="455">
        <f>VLOOKUP(LEFT($C$3:$C$2600,3),Table!$D$2:$E$88,2,FALSE)</f>
        <v>0</v>
      </c>
      <c r="C128" s="455" t="str">
        <f t="shared" si="3"/>
        <v>9150801800</v>
      </c>
      <c r="D128" s="455" t="e">
        <f>VLOOKUP(G128,Table!$G$3:$H$21,2,FALSE)</f>
        <v>#N/A</v>
      </c>
      <c r="E128" s="452" t="s">
        <v>902</v>
      </c>
      <c r="F128" s="452" t="s">
        <v>964</v>
      </c>
      <c r="G128" s="452" t="s">
        <v>1004</v>
      </c>
      <c r="H128" s="452" t="s">
        <v>1005</v>
      </c>
      <c r="I128" s="453" t="s">
        <v>844</v>
      </c>
      <c r="J128" s="453">
        <v>965</v>
      </c>
      <c r="K128" s="461">
        <v>195</v>
      </c>
      <c r="L128" s="461">
        <v>310</v>
      </c>
      <c r="M128" s="461">
        <v>460</v>
      </c>
      <c r="N128" s="461">
        <v>0</v>
      </c>
      <c r="O128" s="461">
        <v>0</v>
      </c>
      <c r="P128" s="461">
        <v>0</v>
      </c>
      <c r="Q128" s="461">
        <v>0</v>
      </c>
      <c r="R128" s="461">
        <v>0</v>
      </c>
      <c r="S128" s="461">
        <v>0</v>
      </c>
      <c r="T128" s="461">
        <v>0</v>
      </c>
      <c r="U128" s="461">
        <v>0</v>
      </c>
      <c r="V128" s="461">
        <v>0</v>
      </c>
    </row>
    <row r="129" spans="1:22" s="455" customFormat="1" hidden="1">
      <c r="A129" s="455" t="str">
        <f t="shared" si="2"/>
        <v>11109150801900</v>
      </c>
      <c r="B129" s="455">
        <f>VLOOKUP(LEFT($C$3:$C$2600,3),Table!$D$2:$E$88,2,FALSE)</f>
        <v>0</v>
      </c>
      <c r="C129" s="455" t="str">
        <f t="shared" si="3"/>
        <v>9150801900</v>
      </c>
      <c r="D129" s="455" t="e">
        <f>VLOOKUP(G129,Table!$G$3:$H$21,2,FALSE)</f>
        <v>#N/A</v>
      </c>
      <c r="E129" s="452" t="s">
        <v>902</v>
      </c>
      <c r="F129" s="452" t="s">
        <v>964</v>
      </c>
      <c r="G129" s="452" t="s">
        <v>1006</v>
      </c>
      <c r="H129" s="452" t="s">
        <v>1007</v>
      </c>
      <c r="I129" s="453" t="s">
        <v>844</v>
      </c>
      <c r="J129" s="453">
        <v>415.8</v>
      </c>
      <c r="K129" s="461">
        <v>138.6</v>
      </c>
      <c r="L129" s="461">
        <v>138.6</v>
      </c>
      <c r="M129" s="461">
        <v>138.6</v>
      </c>
      <c r="N129" s="461">
        <v>0</v>
      </c>
      <c r="O129" s="461">
        <v>0</v>
      </c>
      <c r="P129" s="461">
        <v>0</v>
      </c>
      <c r="Q129" s="461">
        <v>0</v>
      </c>
      <c r="R129" s="461">
        <v>0</v>
      </c>
      <c r="S129" s="461">
        <v>0</v>
      </c>
      <c r="T129" s="461">
        <v>0</v>
      </c>
      <c r="U129" s="461">
        <v>0</v>
      </c>
      <c r="V129" s="461">
        <v>0</v>
      </c>
    </row>
    <row r="130" spans="1:22" s="455" customFormat="1" hidden="1">
      <c r="A130" s="455" t="str">
        <f t="shared" si="2"/>
        <v>11109151501100</v>
      </c>
      <c r="B130" s="455">
        <f>VLOOKUP(LEFT($C$3:$C$2600,3),Table!$D$2:$E$88,2,FALSE)</f>
        <v>0</v>
      </c>
      <c r="C130" s="455" t="str">
        <f t="shared" si="3"/>
        <v>9151501100</v>
      </c>
      <c r="D130" s="455" t="e">
        <f>VLOOKUP(G130,Table!$G$3:$H$21,2,FALSE)</f>
        <v>#N/A</v>
      </c>
      <c r="E130" s="452" t="s">
        <v>902</v>
      </c>
      <c r="F130" s="452" t="s">
        <v>964</v>
      </c>
      <c r="G130" s="452" t="s">
        <v>1009</v>
      </c>
      <c r="H130" s="452" t="s">
        <v>1010</v>
      </c>
      <c r="I130" s="453" t="s">
        <v>844</v>
      </c>
      <c r="J130" s="453">
        <v>79.2</v>
      </c>
      <c r="K130" s="461">
        <v>0</v>
      </c>
      <c r="L130" s="461">
        <v>0</v>
      </c>
      <c r="M130" s="461">
        <v>79.2</v>
      </c>
      <c r="N130" s="461">
        <v>0</v>
      </c>
      <c r="O130" s="461">
        <v>0</v>
      </c>
      <c r="P130" s="461">
        <v>0</v>
      </c>
      <c r="Q130" s="461">
        <v>0</v>
      </c>
      <c r="R130" s="461">
        <v>0</v>
      </c>
      <c r="S130" s="461">
        <v>0</v>
      </c>
      <c r="T130" s="461">
        <v>0</v>
      </c>
      <c r="U130" s="461">
        <v>0</v>
      </c>
      <c r="V130" s="461">
        <v>0</v>
      </c>
    </row>
    <row r="131" spans="1:22" s="455" customFormat="1" hidden="1">
      <c r="A131" s="455" t="str">
        <f t="shared" si="2"/>
        <v>11109151501400</v>
      </c>
      <c r="B131" s="455">
        <f>VLOOKUP(LEFT($C$3:$C$2600,3),Table!$D$2:$E$88,2,FALSE)</f>
        <v>0</v>
      </c>
      <c r="C131" s="455" t="str">
        <f t="shared" si="3"/>
        <v>9151501400</v>
      </c>
      <c r="D131" s="455" t="e">
        <f>VLOOKUP(G131,Table!$G$3:$H$21,2,FALSE)</f>
        <v>#N/A</v>
      </c>
      <c r="E131" s="452" t="s">
        <v>902</v>
      </c>
      <c r="F131" s="452" t="s">
        <v>964</v>
      </c>
      <c r="G131" s="452" t="s">
        <v>1011</v>
      </c>
      <c r="H131" s="452" t="s">
        <v>1012</v>
      </c>
      <c r="I131" s="453" t="s">
        <v>844</v>
      </c>
      <c r="J131" s="453">
        <v>162.6</v>
      </c>
      <c r="K131" s="461">
        <v>0</v>
      </c>
      <c r="L131" s="461">
        <v>150</v>
      </c>
      <c r="M131" s="461">
        <v>12.6</v>
      </c>
      <c r="N131" s="461">
        <v>0</v>
      </c>
      <c r="O131" s="461">
        <v>0</v>
      </c>
      <c r="P131" s="461">
        <v>0</v>
      </c>
      <c r="Q131" s="461">
        <v>0</v>
      </c>
      <c r="R131" s="461">
        <v>0</v>
      </c>
      <c r="S131" s="461">
        <v>0</v>
      </c>
      <c r="T131" s="461">
        <v>0</v>
      </c>
      <c r="U131" s="461">
        <v>0</v>
      </c>
      <c r="V131" s="461">
        <v>0</v>
      </c>
    </row>
    <row r="132" spans="1:22" s="455" customFormat="1" hidden="1">
      <c r="A132" s="455" t="str">
        <f t="shared" ref="A132:A195" si="4">F132&amp;G132</f>
        <v>11109151502000</v>
      </c>
      <c r="B132" s="455">
        <f>VLOOKUP(LEFT($C$3:$C$2600,3),Table!$D$2:$E$88,2,FALSE)</f>
        <v>0</v>
      </c>
      <c r="C132" s="455" t="str">
        <f t="shared" ref="C132:C195" si="5">IF(ISNA(D132),G132,D132)</f>
        <v>9151502000</v>
      </c>
      <c r="D132" s="455" t="e">
        <f>VLOOKUP(G132,Table!$G$3:$H$21,2,FALSE)</f>
        <v>#N/A</v>
      </c>
      <c r="E132" s="452" t="s">
        <v>902</v>
      </c>
      <c r="F132" s="452" t="s">
        <v>964</v>
      </c>
      <c r="G132" s="452" t="s">
        <v>1206</v>
      </c>
      <c r="H132" s="452" t="s">
        <v>1207</v>
      </c>
      <c r="I132" s="453" t="s">
        <v>844</v>
      </c>
      <c r="J132" s="453">
        <v>5390</v>
      </c>
      <c r="K132" s="461">
        <v>5390</v>
      </c>
      <c r="L132" s="461">
        <v>0</v>
      </c>
      <c r="M132" s="461">
        <v>0</v>
      </c>
      <c r="N132" s="461">
        <v>0</v>
      </c>
      <c r="O132" s="461">
        <v>0</v>
      </c>
      <c r="P132" s="461">
        <v>0</v>
      </c>
      <c r="Q132" s="461">
        <v>0</v>
      </c>
      <c r="R132" s="461">
        <v>0</v>
      </c>
      <c r="S132" s="461">
        <v>0</v>
      </c>
      <c r="T132" s="461">
        <v>0</v>
      </c>
      <c r="U132" s="461">
        <v>0</v>
      </c>
      <c r="V132" s="461">
        <v>0</v>
      </c>
    </row>
    <row r="133" spans="1:22" s="455" customFormat="1" hidden="1">
      <c r="A133" s="455" t="str">
        <f t="shared" si="4"/>
        <v>11109151502200</v>
      </c>
      <c r="B133" s="455">
        <f>VLOOKUP(LEFT($C$3:$C$2600,3),Table!$D$2:$E$88,2,FALSE)</f>
        <v>0</v>
      </c>
      <c r="C133" s="455" t="str">
        <f t="shared" si="5"/>
        <v>9151502200</v>
      </c>
      <c r="D133" s="455" t="e">
        <f>VLOOKUP(G133,Table!$G$3:$H$21,2,FALSE)</f>
        <v>#N/A</v>
      </c>
      <c r="E133" s="452" t="s">
        <v>902</v>
      </c>
      <c r="F133" s="452" t="s">
        <v>964</v>
      </c>
      <c r="G133" s="452" t="s">
        <v>1208</v>
      </c>
      <c r="H133" s="452" t="s">
        <v>1209</v>
      </c>
      <c r="I133" s="453" t="s">
        <v>844</v>
      </c>
      <c r="J133" s="453">
        <v>403.88</v>
      </c>
      <c r="K133" s="461">
        <v>148</v>
      </c>
      <c r="L133" s="461">
        <v>255.88</v>
      </c>
      <c r="M133" s="461">
        <v>0</v>
      </c>
      <c r="N133" s="461">
        <v>0</v>
      </c>
      <c r="O133" s="461">
        <v>0</v>
      </c>
      <c r="P133" s="461">
        <v>0</v>
      </c>
      <c r="Q133" s="461">
        <v>0</v>
      </c>
      <c r="R133" s="461">
        <v>0</v>
      </c>
      <c r="S133" s="461">
        <v>0</v>
      </c>
      <c r="T133" s="461">
        <v>0</v>
      </c>
      <c r="U133" s="461">
        <v>0</v>
      </c>
      <c r="V133" s="461">
        <v>0</v>
      </c>
    </row>
    <row r="134" spans="1:22" s="455" customFormat="1" hidden="1">
      <c r="A134" s="455" t="str">
        <f t="shared" si="4"/>
        <v>11109151601000</v>
      </c>
      <c r="B134" s="455">
        <f>VLOOKUP(LEFT($C$3:$C$2600,3),Table!$D$2:$E$88,2,FALSE)</f>
        <v>0</v>
      </c>
      <c r="C134" s="455" t="str">
        <f t="shared" si="5"/>
        <v>9151601000</v>
      </c>
      <c r="D134" s="455" t="e">
        <f>VLOOKUP(G134,Table!$G$3:$H$21,2,FALSE)</f>
        <v>#N/A</v>
      </c>
      <c r="E134" s="452" t="s">
        <v>902</v>
      </c>
      <c r="F134" s="452" t="s">
        <v>964</v>
      </c>
      <c r="G134" s="452" t="s">
        <v>1013</v>
      </c>
      <c r="H134" s="452" t="s">
        <v>1014</v>
      </c>
      <c r="I134" s="453" t="s">
        <v>844</v>
      </c>
      <c r="J134" s="453">
        <v>150</v>
      </c>
      <c r="K134" s="461">
        <v>0</v>
      </c>
      <c r="L134" s="461">
        <v>150</v>
      </c>
      <c r="M134" s="461">
        <v>0</v>
      </c>
      <c r="N134" s="461">
        <v>0</v>
      </c>
      <c r="O134" s="461">
        <v>0</v>
      </c>
      <c r="P134" s="461">
        <v>0</v>
      </c>
      <c r="Q134" s="461">
        <v>0</v>
      </c>
      <c r="R134" s="461">
        <v>0</v>
      </c>
      <c r="S134" s="461">
        <v>0</v>
      </c>
      <c r="T134" s="461">
        <v>0</v>
      </c>
      <c r="U134" s="461">
        <v>0</v>
      </c>
      <c r="V134" s="461">
        <v>0</v>
      </c>
    </row>
    <row r="135" spans="1:22" s="455" customFormat="1" hidden="1">
      <c r="A135" s="455" t="str">
        <f t="shared" si="4"/>
        <v>11109151601001</v>
      </c>
      <c r="B135" s="455">
        <f>VLOOKUP(LEFT($C$3:$C$2600,3),Table!$D$2:$E$88,2,FALSE)</f>
        <v>0</v>
      </c>
      <c r="C135" s="455" t="str">
        <f t="shared" si="5"/>
        <v>9151601001</v>
      </c>
      <c r="D135" s="455" t="e">
        <f>VLOOKUP(G135,Table!$G$3:$H$21,2,FALSE)</f>
        <v>#N/A</v>
      </c>
      <c r="E135" s="452" t="s">
        <v>902</v>
      </c>
      <c r="F135" s="452" t="s">
        <v>964</v>
      </c>
      <c r="G135" s="452" t="s">
        <v>1015</v>
      </c>
      <c r="H135" s="452" t="s">
        <v>1016</v>
      </c>
      <c r="I135" s="453" t="s">
        <v>844</v>
      </c>
      <c r="J135" s="453">
        <v>724.35</v>
      </c>
      <c r="K135" s="461">
        <v>280.5</v>
      </c>
      <c r="L135" s="461">
        <v>129.35</v>
      </c>
      <c r="M135" s="461">
        <v>314.5</v>
      </c>
      <c r="N135" s="461">
        <v>0</v>
      </c>
      <c r="O135" s="461">
        <v>0</v>
      </c>
      <c r="P135" s="461">
        <v>0</v>
      </c>
      <c r="Q135" s="461">
        <v>0</v>
      </c>
      <c r="R135" s="461">
        <v>0</v>
      </c>
      <c r="S135" s="461">
        <v>0</v>
      </c>
      <c r="T135" s="461">
        <v>0</v>
      </c>
      <c r="U135" s="461">
        <v>0</v>
      </c>
      <c r="V135" s="461">
        <v>0</v>
      </c>
    </row>
    <row r="136" spans="1:22" s="455" customFormat="1" hidden="1">
      <c r="A136" s="455" t="str">
        <f t="shared" si="4"/>
        <v>11109151602001</v>
      </c>
      <c r="B136" s="455">
        <f>VLOOKUP(LEFT($C$3:$C$2600,3),Table!$D$2:$E$88,2,FALSE)</f>
        <v>0</v>
      </c>
      <c r="C136" s="455" t="str">
        <f t="shared" si="5"/>
        <v>9151602001</v>
      </c>
      <c r="D136" s="455" t="e">
        <f>VLOOKUP(G136,Table!$G$3:$H$21,2,FALSE)</f>
        <v>#N/A</v>
      </c>
      <c r="E136" s="452" t="s">
        <v>902</v>
      </c>
      <c r="F136" s="452" t="s">
        <v>964</v>
      </c>
      <c r="G136" s="452" t="s">
        <v>2533</v>
      </c>
      <c r="H136" s="452" t="s">
        <v>2534</v>
      </c>
      <c r="I136" s="453" t="s">
        <v>844</v>
      </c>
      <c r="J136" s="453">
        <v>158.61000000000001</v>
      </c>
      <c r="K136" s="461">
        <v>0</v>
      </c>
      <c r="L136" s="461">
        <v>158.61000000000001</v>
      </c>
      <c r="M136" s="461">
        <v>0</v>
      </c>
      <c r="N136" s="461">
        <v>0</v>
      </c>
      <c r="O136" s="461">
        <v>0</v>
      </c>
      <c r="P136" s="461">
        <v>0</v>
      </c>
      <c r="Q136" s="461">
        <v>0</v>
      </c>
      <c r="R136" s="461">
        <v>0</v>
      </c>
      <c r="S136" s="461">
        <v>0</v>
      </c>
      <c r="T136" s="461">
        <v>0</v>
      </c>
      <c r="U136" s="461">
        <v>0</v>
      </c>
      <c r="V136" s="461">
        <v>0</v>
      </c>
    </row>
    <row r="137" spans="1:22" s="455" customFormat="1" hidden="1">
      <c r="A137" s="455" t="str">
        <f t="shared" si="4"/>
        <v>11109151602100</v>
      </c>
      <c r="B137" s="455">
        <f>VLOOKUP(LEFT($C$3:$C$2600,3),Table!$D$2:$E$88,2,FALSE)</f>
        <v>0</v>
      </c>
      <c r="C137" s="455" t="str">
        <f t="shared" si="5"/>
        <v>9151602100</v>
      </c>
      <c r="D137" s="455" t="e">
        <f>VLOOKUP(G137,Table!$G$3:$H$21,2,FALSE)</f>
        <v>#N/A</v>
      </c>
      <c r="E137" s="452" t="s">
        <v>902</v>
      </c>
      <c r="F137" s="452" t="s">
        <v>964</v>
      </c>
      <c r="G137" s="452" t="s">
        <v>1210</v>
      </c>
      <c r="H137" s="452" t="s">
        <v>1211</v>
      </c>
      <c r="I137" s="453" t="s">
        <v>844</v>
      </c>
      <c r="J137" s="453">
        <v>2194.35</v>
      </c>
      <c r="K137" s="461">
        <v>0</v>
      </c>
      <c r="L137" s="461">
        <v>2194.35</v>
      </c>
      <c r="M137" s="461">
        <v>0</v>
      </c>
      <c r="N137" s="461">
        <v>0</v>
      </c>
      <c r="O137" s="461">
        <v>0</v>
      </c>
      <c r="P137" s="461">
        <v>0</v>
      </c>
      <c r="Q137" s="461">
        <v>0</v>
      </c>
      <c r="R137" s="461">
        <v>0</v>
      </c>
      <c r="S137" s="461">
        <v>0</v>
      </c>
      <c r="T137" s="461">
        <v>0</v>
      </c>
      <c r="U137" s="461">
        <v>0</v>
      </c>
      <c r="V137" s="461">
        <v>0</v>
      </c>
    </row>
    <row r="138" spans="1:22" s="455" customFormat="1" hidden="1">
      <c r="A138" s="455" t="str">
        <f t="shared" si="4"/>
        <v>11109151801100</v>
      </c>
      <c r="B138" s="455">
        <f>VLOOKUP(LEFT($C$3:$C$2600,3),Table!$D$2:$E$88,2,FALSE)</f>
        <v>0</v>
      </c>
      <c r="C138" s="455" t="str">
        <f t="shared" si="5"/>
        <v>9151801100</v>
      </c>
      <c r="D138" s="455" t="e">
        <f>VLOOKUP(G138,Table!$G$3:$H$21,2,FALSE)</f>
        <v>#N/A</v>
      </c>
      <c r="E138" s="452" t="s">
        <v>902</v>
      </c>
      <c r="F138" s="452" t="s">
        <v>964</v>
      </c>
      <c r="G138" s="452" t="s">
        <v>1017</v>
      </c>
      <c r="H138" s="452" t="s">
        <v>1018</v>
      </c>
      <c r="I138" s="453" t="s">
        <v>844</v>
      </c>
      <c r="J138" s="453">
        <v>3076.27</v>
      </c>
      <c r="K138" s="461">
        <v>0</v>
      </c>
      <c r="L138" s="461">
        <v>17</v>
      </c>
      <c r="M138" s="461">
        <v>3059.27</v>
      </c>
      <c r="N138" s="461">
        <v>0</v>
      </c>
      <c r="O138" s="461">
        <v>0</v>
      </c>
      <c r="P138" s="461">
        <v>0</v>
      </c>
      <c r="Q138" s="461">
        <v>0</v>
      </c>
      <c r="R138" s="461">
        <v>0</v>
      </c>
      <c r="S138" s="461">
        <v>0</v>
      </c>
      <c r="T138" s="461">
        <v>0</v>
      </c>
      <c r="U138" s="461">
        <v>0</v>
      </c>
      <c r="V138" s="461">
        <v>0</v>
      </c>
    </row>
    <row r="139" spans="1:22" s="455" customFormat="1" hidden="1">
      <c r="A139" s="455" t="str">
        <f t="shared" si="4"/>
        <v>11109151802100</v>
      </c>
      <c r="B139" s="455">
        <f>VLOOKUP(LEFT($C$3:$C$2600,3),Table!$D$2:$E$88,2,FALSE)</f>
        <v>0</v>
      </c>
      <c r="C139" s="455" t="str">
        <f t="shared" si="5"/>
        <v>9151802100</v>
      </c>
      <c r="D139" s="455" t="e">
        <f>VLOOKUP(G139,Table!$G$3:$H$21,2,FALSE)</f>
        <v>#N/A</v>
      </c>
      <c r="E139" s="452" t="s">
        <v>902</v>
      </c>
      <c r="F139" s="452" t="s">
        <v>964</v>
      </c>
      <c r="G139" s="452" t="s">
        <v>1216</v>
      </c>
      <c r="H139" s="452" t="s">
        <v>1217</v>
      </c>
      <c r="I139" s="453" t="s">
        <v>844</v>
      </c>
      <c r="J139" s="453">
        <v>1080</v>
      </c>
      <c r="K139" s="461">
        <v>0</v>
      </c>
      <c r="L139" s="461">
        <v>1080</v>
      </c>
      <c r="M139" s="461">
        <v>0</v>
      </c>
      <c r="N139" s="461">
        <v>0</v>
      </c>
      <c r="O139" s="461">
        <v>0</v>
      </c>
      <c r="P139" s="461">
        <v>0</v>
      </c>
      <c r="Q139" s="461">
        <v>0</v>
      </c>
      <c r="R139" s="461">
        <v>0</v>
      </c>
      <c r="S139" s="461">
        <v>0</v>
      </c>
      <c r="T139" s="461">
        <v>0</v>
      </c>
      <c r="U139" s="461">
        <v>0</v>
      </c>
      <c r="V139" s="461">
        <v>0</v>
      </c>
    </row>
    <row r="140" spans="1:22" s="455" customFormat="1" hidden="1">
      <c r="A140" s="455" t="str">
        <f t="shared" si="4"/>
        <v>11109152010211</v>
      </c>
      <c r="B140" s="455">
        <f>VLOOKUP(LEFT($C$3:$C$2600,3),Table!$D$2:$E$88,2,FALSE)</f>
        <v>0</v>
      </c>
      <c r="C140" s="455" t="str">
        <f t="shared" si="5"/>
        <v>9152010211</v>
      </c>
      <c r="D140" s="455" t="e">
        <f>VLOOKUP(G140,Table!$G$3:$H$21,2,FALSE)</f>
        <v>#N/A</v>
      </c>
      <c r="E140" s="452" t="s">
        <v>902</v>
      </c>
      <c r="F140" s="452" t="s">
        <v>964</v>
      </c>
      <c r="G140" s="452" t="s">
        <v>1021</v>
      </c>
      <c r="H140" s="452" t="s">
        <v>1022</v>
      </c>
      <c r="I140" s="453" t="s">
        <v>844</v>
      </c>
      <c r="J140" s="453">
        <v>4427.3999999999996</v>
      </c>
      <c r="K140" s="461">
        <v>1475.8</v>
      </c>
      <c r="L140" s="461">
        <v>1475.8</v>
      </c>
      <c r="M140" s="461">
        <v>1475.8</v>
      </c>
      <c r="N140" s="461">
        <v>0</v>
      </c>
      <c r="O140" s="461">
        <v>0</v>
      </c>
      <c r="P140" s="461">
        <v>0</v>
      </c>
      <c r="Q140" s="461">
        <v>0</v>
      </c>
      <c r="R140" s="461">
        <v>0</v>
      </c>
      <c r="S140" s="461">
        <v>0</v>
      </c>
      <c r="T140" s="461">
        <v>0</v>
      </c>
      <c r="U140" s="461">
        <v>0</v>
      </c>
      <c r="V140" s="461">
        <v>0</v>
      </c>
    </row>
    <row r="141" spans="1:22" s="455" customFormat="1" hidden="1">
      <c r="A141" s="455" t="str">
        <f t="shared" si="4"/>
        <v>11109152020212</v>
      </c>
      <c r="B141" s="455">
        <f>VLOOKUP(LEFT($C$3:$C$2600,3),Table!$D$2:$E$88,2,FALSE)</f>
        <v>0</v>
      </c>
      <c r="C141" s="455" t="str">
        <f t="shared" si="5"/>
        <v>9152020212</v>
      </c>
      <c r="D141" s="455" t="e">
        <f>VLOOKUP(G141,Table!$G$3:$H$21,2,FALSE)</f>
        <v>#N/A</v>
      </c>
      <c r="E141" s="452" t="s">
        <v>902</v>
      </c>
      <c r="F141" s="452" t="s">
        <v>964</v>
      </c>
      <c r="G141" s="452" t="s">
        <v>1023</v>
      </c>
      <c r="H141" s="452" t="s">
        <v>1024</v>
      </c>
      <c r="I141" s="453" t="s">
        <v>844</v>
      </c>
      <c r="J141" s="453">
        <v>724</v>
      </c>
      <c r="K141" s="461">
        <v>160</v>
      </c>
      <c r="L141" s="461">
        <v>160</v>
      </c>
      <c r="M141" s="461">
        <v>816</v>
      </c>
      <c r="N141" s="461">
        <v>0</v>
      </c>
      <c r="O141" s="461">
        <v>0</v>
      </c>
      <c r="P141" s="461">
        <v>0</v>
      </c>
      <c r="Q141" s="461">
        <v>0</v>
      </c>
      <c r="R141" s="461">
        <v>0</v>
      </c>
      <c r="S141" s="461">
        <v>0</v>
      </c>
      <c r="T141" s="461">
        <v>0</v>
      </c>
      <c r="U141" s="461">
        <v>0</v>
      </c>
      <c r="V141" s="461">
        <v>0</v>
      </c>
    </row>
    <row r="142" spans="1:22" s="455" customFormat="1" hidden="1">
      <c r="A142" s="455" t="str">
        <f t="shared" si="4"/>
        <v>11109152020805</v>
      </c>
      <c r="B142" s="455">
        <f>VLOOKUP(LEFT($C$3:$C$2600,3),Table!$D$2:$E$88,2,FALSE)</f>
        <v>0</v>
      </c>
      <c r="C142" s="455" t="str">
        <f t="shared" si="5"/>
        <v>9152020805</v>
      </c>
      <c r="D142" s="455" t="e">
        <f>VLOOKUP(G142,Table!$G$3:$H$21,2,FALSE)</f>
        <v>#N/A</v>
      </c>
      <c r="E142" s="452" t="s">
        <v>902</v>
      </c>
      <c r="F142" s="452" t="s">
        <v>964</v>
      </c>
      <c r="G142" s="452" t="s">
        <v>1025</v>
      </c>
      <c r="H142" s="452" t="s">
        <v>1026</v>
      </c>
      <c r="I142" s="453" t="s">
        <v>844</v>
      </c>
      <c r="J142" s="453">
        <v>2611</v>
      </c>
      <c r="K142" s="461">
        <v>0</v>
      </c>
      <c r="L142" s="461">
        <v>340</v>
      </c>
      <c r="M142" s="461">
        <v>2271</v>
      </c>
      <c r="N142" s="461">
        <v>0</v>
      </c>
      <c r="O142" s="461">
        <v>0</v>
      </c>
      <c r="P142" s="461">
        <v>0</v>
      </c>
      <c r="Q142" s="461">
        <v>0</v>
      </c>
      <c r="R142" s="461">
        <v>0</v>
      </c>
      <c r="S142" s="461">
        <v>0</v>
      </c>
      <c r="T142" s="461">
        <v>0</v>
      </c>
      <c r="U142" s="461">
        <v>0</v>
      </c>
      <c r="V142" s="461">
        <v>0</v>
      </c>
    </row>
    <row r="143" spans="1:22" s="455" customFormat="1" hidden="1">
      <c r="A143" s="455" t="str">
        <f t="shared" si="4"/>
        <v>11109152023011</v>
      </c>
      <c r="B143" s="455">
        <f>VLOOKUP(LEFT($C$3:$C$2600,3),Table!$D$2:$E$88,2,FALSE)</f>
        <v>0</v>
      </c>
      <c r="C143" s="455" t="str">
        <f t="shared" si="5"/>
        <v>9152023011</v>
      </c>
      <c r="D143" s="455" t="e">
        <f>VLOOKUP(G143,Table!$G$3:$H$21,2,FALSE)</f>
        <v>#N/A</v>
      </c>
      <c r="E143" s="452" t="s">
        <v>902</v>
      </c>
      <c r="F143" s="452" t="s">
        <v>964</v>
      </c>
      <c r="G143" s="452" t="s">
        <v>1027</v>
      </c>
      <c r="H143" s="452" t="s">
        <v>1028</v>
      </c>
      <c r="I143" s="453" t="s">
        <v>844</v>
      </c>
      <c r="J143" s="453">
        <v>675</v>
      </c>
      <c r="K143" s="461">
        <v>0</v>
      </c>
      <c r="L143" s="461">
        <v>255</v>
      </c>
      <c r="M143" s="461">
        <v>420</v>
      </c>
      <c r="N143" s="461">
        <v>0</v>
      </c>
      <c r="O143" s="461">
        <v>0</v>
      </c>
      <c r="P143" s="461">
        <v>0</v>
      </c>
      <c r="Q143" s="461">
        <v>0</v>
      </c>
      <c r="R143" s="461">
        <v>0</v>
      </c>
      <c r="S143" s="461">
        <v>0</v>
      </c>
      <c r="T143" s="461">
        <v>0</v>
      </c>
      <c r="U143" s="461">
        <v>0</v>
      </c>
      <c r="V143" s="461">
        <v>0</v>
      </c>
    </row>
    <row r="144" spans="1:22" s="455" customFormat="1" hidden="1">
      <c r="A144" s="455" t="str">
        <f t="shared" si="4"/>
        <v>11109152023211</v>
      </c>
      <c r="B144" s="455">
        <f>VLOOKUP(LEFT($C$3:$C$2600,3),Table!$D$2:$E$88,2,FALSE)</f>
        <v>0</v>
      </c>
      <c r="C144" s="455" t="str">
        <f t="shared" si="5"/>
        <v>9152023211</v>
      </c>
      <c r="D144" s="455" t="e">
        <f>VLOOKUP(G144,Table!$G$3:$H$21,2,FALSE)</f>
        <v>#N/A</v>
      </c>
      <c r="E144" s="452" t="s">
        <v>902</v>
      </c>
      <c r="F144" s="452" t="s">
        <v>964</v>
      </c>
      <c r="G144" s="452" t="s">
        <v>1029</v>
      </c>
      <c r="H144" s="452" t="s">
        <v>1030</v>
      </c>
      <c r="I144" s="453" t="s">
        <v>844</v>
      </c>
      <c r="J144" s="453">
        <v>0</v>
      </c>
      <c r="K144" s="461">
        <v>0</v>
      </c>
      <c r="L144" s="461">
        <v>1650</v>
      </c>
      <c r="M144" s="461">
        <v>0</v>
      </c>
      <c r="N144" s="461">
        <v>0</v>
      </c>
      <c r="O144" s="461">
        <v>0</v>
      </c>
      <c r="P144" s="461">
        <v>0</v>
      </c>
      <c r="Q144" s="461">
        <v>0</v>
      </c>
      <c r="R144" s="461">
        <v>0</v>
      </c>
      <c r="S144" s="461">
        <v>0</v>
      </c>
      <c r="T144" s="461">
        <v>0</v>
      </c>
      <c r="U144" s="461">
        <v>0</v>
      </c>
      <c r="V144" s="461">
        <v>0</v>
      </c>
    </row>
    <row r="145" spans="1:22" s="455" customFormat="1" hidden="1">
      <c r="A145" s="455" t="str">
        <f t="shared" si="4"/>
        <v>11109152090000</v>
      </c>
      <c r="B145" s="455">
        <f>VLOOKUP(LEFT($C$3:$C$2600,3),Table!$D$2:$E$88,2,FALSE)</f>
        <v>0</v>
      </c>
      <c r="C145" s="455" t="str">
        <f t="shared" si="5"/>
        <v>9152090000</v>
      </c>
      <c r="D145" s="455" t="e">
        <f>VLOOKUP(G145,Table!$G$3:$H$21,2,FALSE)</f>
        <v>#N/A</v>
      </c>
      <c r="E145" s="452" t="s">
        <v>902</v>
      </c>
      <c r="F145" s="452" t="s">
        <v>964</v>
      </c>
      <c r="G145" s="452" t="s">
        <v>1033</v>
      </c>
      <c r="H145" s="452" t="s">
        <v>1034</v>
      </c>
      <c r="I145" s="453" t="s">
        <v>844</v>
      </c>
      <c r="J145" s="453">
        <v>438</v>
      </c>
      <c r="K145" s="461">
        <v>438</v>
      </c>
      <c r="L145" s="461">
        <v>0</v>
      </c>
      <c r="M145" s="461">
        <v>0</v>
      </c>
      <c r="N145" s="461">
        <v>0</v>
      </c>
      <c r="O145" s="461">
        <v>0</v>
      </c>
      <c r="P145" s="461">
        <v>0</v>
      </c>
      <c r="Q145" s="461">
        <v>0</v>
      </c>
      <c r="R145" s="461">
        <v>0</v>
      </c>
      <c r="S145" s="461">
        <v>0</v>
      </c>
      <c r="T145" s="461">
        <v>0</v>
      </c>
      <c r="U145" s="461">
        <v>0</v>
      </c>
      <c r="V145" s="461">
        <v>0</v>
      </c>
    </row>
    <row r="146" spans="1:22" s="455" customFormat="1" hidden="1">
      <c r="A146" s="455" t="str">
        <f t="shared" si="4"/>
        <v>11109152402502</v>
      </c>
      <c r="B146" s="455">
        <f>VLOOKUP(LEFT($C$3:$C$2600,3),Table!$D$2:$E$88,2,FALSE)</f>
        <v>0</v>
      </c>
      <c r="C146" s="455" t="str">
        <f t="shared" si="5"/>
        <v>9152402502</v>
      </c>
      <c r="D146" s="455" t="e">
        <f>VLOOKUP(G146,Table!$G$3:$H$21,2,FALSE)</f>
        <v>#N/A</v>
      </c>
      <c r="E146" s="452" t="s">
        <v>902</v>
      </c>
      <c r="F146" s="452" t="s">
        <v>964</v>
      </c>
      <c r="G146" s="452" t="s">
        <v>1035</v>
      </c>
      <c r="H146" s="452" t="s">
        <v>1036</v>
      </c>
      <c r="I146" s="453" t="s">
        <v>844</v>
      </c>
      <c r="J146" s="453">
        <v>9520</v>
      </c>
      <c r="K146" s="461">
        <v>2300</v>
      </c>
      <c r="L146" s="461">
        <v>2300</v>
      </c>
      <c r="M146" s="461">
        <v>2460</v>
      </c>
      <c r="N146" s="461">
        <v>0</v>
      </c>
      <c r="O146" s="461">
        <v>0</v>
      </c>
      <c r="P146" s="461">
        <v>0</v>
      </c>
      <c r="Q146" s="461">
        <v>0</v>
      </c>
      <c r="R146" s="461">
        <v>0</v>
      </c>
      <c r="S146" s="461">
        <v>0</v>
      </c>
      <c r="T146" s="461">
        <v>0</v>
      </c>
      <c r="U146" s="461">
        <v>0</v>
      </c>
      <c r="V146" s="461">
        <v>0</v>
      </c>
    </row>
    <row r="147" spans="1:22" s="455" customFormat="1" hidden="1">
      <c r="A147" s="455" t="str">
        <f t="shared" si="4"/>
        <v>11109152402506</v>
      </c>
      <c r="B147" s="455">
        <f>VLOOKUP(LEFT($C$3:$C$2600,3),Table!$D$2:$E$88,2,FALSE)</f>
        <v>0</v>
      </c>
      <c r="C147" s="455" t="str">
        <f t="shared" si="5"/>
        <v>9152402506</v>
      </c>
      <c r="D147" s="455" t="e">
        <f>VLOOKUP(G147,Table!$G$3:$H$21,2,FALSE)</f>
        <v>#N/A</v>
      </c>
      <c r="E147" s="452" t="s">
        <v>902</v>
      </c>
      <c r="F147" s="452" t="s">
        <v>964</v>
      </c>
      <c r="G147" s="452" t="s">
        <v>1037</v>
      </c>
      <c r="H147" s="452" t="s">
        <v>1038</v>
      </c>
      <c r="I147" s="453" t="s">
        <v>844</v>
      </c>
      <c r="J147" s="453">
        <v>9520</v>
      </c>
      <c r="K147" s="461">
        <v>2300</v>
      </c>
      <c r="L147" s="461">
        <v>2300</v>
      </c>
      <c r="M147" s="461">
        <v>2460</v>
      </c>
      <c r="N147" s="461">
        <v>0</v>
      </c>
      <c r="O147" s="461">
        <v>0</v>
      </c>
      <c r="P147" s="461">
        <v>0</v>
      </c>
      <c r="Q147" s="461">
        <v>0</v>
      </c>
      <c r="R147" s="461">
        <v>0</v>
      </c>
      <c r="S147" s="461">
        <v>0</v>
      </c>
      <c r="T147" s="461">
        <v>0</v>
      </c>
      <c r="U147" s="461">
        <v>0</v>
      </c>
      <c r="V147" s="461">
        <v>0</v>
      </c>
    </row>
    <row r="148" spans="1:22" s="455" customFormat="1" hidden="1">
      <c r="A148" s="455" t="str">
        <f t="shared" si="4"/>
        <v>11109152402515</v>
      </c>
      <c r="B148" s="455">
        <f>VLOOKUP(LEFT($C$3:$C$2600,3),Table!$D$2:$E$88,2,FALSE)</f>
        <v>0</v>
      </c>
      <c r="C148" s="455" t="str">
        <f t="shared" si="5"/>
        <v>9152402515</v>
      </c>
      <c r="D148" s="455" t="e">
        <f>VLOOKUP(G148,Table!$G$3:$H$21,2,FALSE)</f>
        <v>#N/A</v>
      </c>
      <c r="E148" s="452" t="s">
        <v>902</v>
      </c>
      <c r="F148" s="452" t="s">
        <v>964</v>
      </c>
      <c r="G148" s="452" t="s">
        <v>1039</v>
      </c>
      <c r="H148" s="452" t="s">
        <v>1040</v>
      </c>
      <c r="I148" s="453" t="s">
        <v>844</v>
      </c>
      <c r="J148" s="453">
        <v>12060</v>
      </c>
      <c r="K148" s="461">
        <v>3400</v>
      </c>
      <c r="L148" s="461">
        <v>3400</v>
      </c>
      <c r="M148" s="461">
        <v>1630</v>
      </c>
      <c r="N148" s="461">
        <v>0</v>
      </c>
      <c r="O148" s="461">
        <v>0</v>
      </c>
      <c r="P148" s="461">
        <v>0</v>
      </c>
      <c r="Q148" s="461">
        <v>0</v>
      </c>
      <c r="R148" s="461">
        <v>0</v>
      </c>
      <c r="S148" s="461">
        <v>0</v>
      </c>
      <c r="T148" s="461">
        <v>0</v>
      </c>
      <c r="U148" s="461">
        <v>0</v>
      </c>
      <c r="V148" s="461">
        <v>0</v>
      </c>
    </row>
    <row r="149" spans="1:22" s="455" customFormat="1" hidden="1">
      <c r="A149" s="455" t="str">
        <f t="shared" si="4"/>
        <v>11109153001000</v>
      </c>
      <c r="B149" s="455">
        <f>VLOOKUP(LEFT($C$3:$C$2600,3),Table!$D$2:$E$88,2,FALSE)</f>
        <v>0</v>
      </c>
      <c r="C149" s="455" t="str">
        <f t="shared" si="5"/>
        <v>9153001000</v>
      </c>
      <c r="D149" s="455" t="e">
        <f>VLOOKUP(G149,Table!$G$3:$H$21,2,FALSE)</f>
        <v>#N/A</v>
      </c>
      <c r="E149" s="452" t="s">
        <v>902</v>
      </c>
      <c r="F149" s="452" t="s">
        <v>964</v>
      </c>
      <c r="G149" s="452" t="s">
        <v>1043</v>
      </c>
      <c r="H149" s="452" t="s">
        <v>1044</v>
      </c>
      <c r="I149" s="453" t="s">
        <v>844</v>
      </c>
      <c r="J149" s="453">
        <v>48359</v>
      </c>
      <c r="K149" s="461">
        <v>16089</v>
      </c>
      <c r="L149" s="461">
        <v>16135</v>
      </c>
      <c r="M149" s="461">
        <v>16135</v>
      </c>
      <c r="N149" s="461">
        <v>0</v>
      </c>
      <c r="O149" s="461">
        <v>0</v>
      </c>
      <c r="P149" s="461">
        <v>0</v>
      </c>
      <c r="Q149" s="461">
        <v>0</v>
      </c>
      <c r="R149" s="461">
        <v>0</v>
      </c>
      <c r="S149" s="461">
        <v>0</v>
      </c>
      <c r="T149" s="461">
        <v>0</v>
      </c>
      <c r="U149" s="461">
        <v>0</v>
      </c>
      <c r="V149" s="461">
        <v>0</v>
      </c>
    </row>
    <row r="150" spans="1:22" s="455" customFormat="1" hidden="1">
      <c r="A150" s="455" t="str">
        <f t="shared" si="4"/>
        <v>11119101001000</v>
      </c>
      <c r="B150" s="455">
        <f>VLOOKUP(LEFT($C$3:$C$2600,3),Table!$D$2:$E$88,2,FALSE)</f>
        <v>0</v>
      </c>
      <c r="C150" s="455" t="str">
        <f t="shared" si="5"/>
        <v>9101001000</v>
      </c>
      <c r="D150" s="455" t="e">
        <f>VLOOKUP(G150,Table!$G$3:$H$21,2,FALSE)</f>
        <v>#N/A</v>
      </c>
      <c r="E150" s="452" t="s">
        <v>902</v>
      </c>
      <c r="F150" s="452" t="s">
        <v>1045</v>
      </c>
      <c r="G150" s="452" t="s">
        <v>1046</v>
      </c>
      <c r="H150" s="452" t="s">
        <v>1047</v>
      </c>
      <c r="I150" s="453" t="s">
        <v>844</v>
      </c>
      <c r="J150" s="453">
        <v>22190.7</v>
      </c>
      <c r="K150" s="461">
        <v>7396.9</v>
      </c>
      <c r="L150" s="461">
        <v>7396.9</v>
      </c>
      <c r="M150" s="461">
        <v>7396.9</v>
      </c>
      <c r="N150" s="461">
        <v>0</v>
      </c>
      <c r="O150" s="461">
        <v>0</v>
      </c>
      <c r="P150" s="461">
        <v>0</v>
      </c>
      <c r="Q150" s="461">
        <v>0</v>
      </c>
      <c r="R150" s="461">
        <v>0</v>
      </c>
      <c r="S150" s="461">
        <v>0</v>
      </c>
      <c r="T150" s="461">
        <v>0</v>
      </c>
      <c r="U150" s="461">
        <v>0</v>
      </c>
      <c r="V150" s="461">
        <v>0</v>
      </c>
    </row>
    <row r="151" spans="1:22" s="455" customFormat="1" hidden="1">
      <c r="A151" s="455" t="str">
        <f t="shared" si="4"/>
        <v>11119101001100</v>
      </c>
      <c r="B151" s="455">
        <f>VLOOKUP(LEFT($C$3:$C$2600,3),Table!$D$2:$E$88,2,FALSE)</f>
        <v>0</v>
      </c>
      <c r="C151" s="455" t="str">
        <f t="shared" si="5"/>
        <v>9101001100</v>
      </c>
      <c r="D151" s="455" t="e">
        <f>VLOOKUP(G151,Table!$G$3:$H$21,2,FALSE)</f>
        <v>#N/A</v>
      </c>
      <c r="E151" s="452" t="s">
        <v>902</v>
      </c>
      <c r="F151" s="452" t="s">
        <v>1045</v>
      </c>
      <c r="G151" s="452" t="s">
        <v>1048</v>
      </c>
      <c r="H151" s="452" t="s">
        <v>1049</v>
      </c>
      <c r="I151" s="453" t="s">
        <v>844</v>
      </c>
      <c r="J151" s="453">
        <v>14969.69</v>
      </c>
      <c r="K151" s="461">
        <v>4355.75</v>
      </c>
      <c r="L151" s="461">
        <v>6467.74</v>
      </c>
      <c r="M151" s="461">
        <v>4964.87</v>
      </c>
      <c r="N151" s="461">
        <v>0</v>
      </c>
      <c r="O151" s="461">
        <v>0</v>
      </c>
      <c r="P151" s="461">
        <v>0</v>
      </c>
      <c r="Q151" s="461">
        <v>0</v>
      </c>
      <c r="R151" s="461">
        <v>0</v>
      </c>
      <c r="S151" s="461">
        <v>0</v>
      </c>
      <c r="T151" s="461">
        <v>0</v>
      </c>
      <c r="U151" s="461">
        <v>0</v>
      </c>
      <c r="V151" s="461">
        <v>0</v>
      </c>
    </row>
    <row r="152" spans="1:22" s="455" customFormat="1" hidden="1">
      <c r="A152" s="455" t="str">
        <f t="shared" si="4"/>
        <v>11119101001200</v>
      </c>
      <c r="B152" s="455">
        <f>VLOOKUP(LEFT($C$3:$C$2600,3),Table!$D$2:$E$88,2,FALSE)</f>
        <v>0</v>
      </c>
      <c r="C152" s="455" t="str">
        <f t="shared" si="5"/>
        <v>9101001200</v>
      </c>
      <c r="D152" s="455" t="e">
        <f>VLOOKUP(G152,Table!$G$3:$H$21,2,FALSE)</f>
        <v>#N/A</v>
      </c>
      <c r="E152" s="452" t="s">
        <v>902</v>
      </c>
      <c r="F152" s="452" t="s">
        <v>1045</v>
      </c>
      <c r="G152" s="452" t="s">
        <v>1050</v>
      </c>
      <c r="H152" s="452" t="s">
        <v>1051</v>
      </c>
      <c r="I152" s="453" t="s">
        <v>844</v>
      </c>
      <c r="J152" s="453">
        <v>3069.06</v>
      </c>
      <c r="K152" s="461">
        <v>1014.57</v>
      </c>
      <c r="L152" s="461">
        <v>1031.56</v>
      </c>
      <c r="M152" s="461">
        <v>1022.93</v>
      </c>
      <c r="N152" s="461">
        <v>0</v>
      </c>
      <c r="O152" s="461">
        <v>0</v>
      </c>
      <c r="P152" s="461">
        <v>0</v>
      </c>
      <c r="Q152" s="461">
        <v>0</v>
      </c>
      <c r="R152" s="461">
        <v>0</v>
      </c>
      <c r="S152" s="461">
        <v>0</v>
      </c>
      <c r="T152" s="461">
        <v>0</v>
      </c>
      <c r="U152" s="461">
        <v>0</v>
      </c>
      <c r="V152" s="461">
        <v>0</v>
      </c>
    </row>
    <row r="153" spans="1:22" s="455" customFormat="1" hidden="1">
      <c r="A153" s="455" t="str">
        <f t="shared" si="4"/>
        <v>11119101001300</v>
      </c>
      <c r="B153" s="455">
        <f>VLOOKUP(LEFT($C$3:$C$2600,3),Table!$D$2:$E$88,2,FALSE)</f>
        <v>0</v>
      </c>
      <c r="C153" s="455" t="str">
        <f t="shared" si="5"/>
        <v>9101001300</v>
      </c>
      <c r="D153" s="455" t="e">
        <f>VLOOKUP(G153,Table!$G$3:$H$21,2,FALSE)</f>
        <v>#N/A</v>
      </c>
      <c r="E153" s="452" t="s">
        <v>902</v>
      </c>
      <c r="F153" s="452" t="s">
        <v>1045</v>
      </c>
      <c r="G153" s="452" t="s">
        <v>1052</v>
      </c>
      <c r="H153" s="452" t="s">
        <v>1053</v>
      </c>
      <c r="I153" s="453" t="s">
        <v>844</v>
      </c>
      <c r="J153" s="453">
        <v>242</v>
      </c>
      <c r="K153" s="461">
        <v>80</v>
      </c>
      <c r="L153" s="461">
        <v>82</v>
      </c>
      <c r="M153" s="461">
        <v>80</v>
      </c>
      <c r="N153" s="461">
        <v>0</v>
      </c>
      <c r="O153" s="461">
        <v>0</v>
      </c>
      <c r="P153" s="461">
        <v>0</v>
      </c>
      <c r="Q153" s="461">
        <v>0</v>
      </c>
      <c r="R153" s="461">
        <v>0</v>
      </c>
      <c r="S153" s="461">
        <v>0</v>
      </c>
      <c r="T153" s="461">
        <v>0</v>
      </c>
      <c r="U153" s="461">
        <v>0</v>
      </c>
      <c r="V153" s="461">
        <v>0</v>
      </c>
    </row>
    <row r="154" spans="1:22" s="455" customFormat="1" hidden="1">
      <c r="A154" s="455" t="str">
        <f t="shared" si="4"/>
        <v>11119101001400</v>
      </c>
      <c r="B154" s="455">
        <f>VLOOKUP(LEFT($C$3:$C$2600,3),Table!$D$2:$E$88,2,FALSE)</f>
        <v>0</v>
      </c>
      <c r="C154" s="455" t="str">
        <f t="shared" si="5"/>
        <v>9101001400</v>
      </c>
      <c r="D154" s="455" t="e">
        <f>VLOOKUP(G154,Table!$G$3:$H$21,2,FALSE)</f>
        <v>#N/A</v>
      </c>
      <c r="E154" s="452" t="s">
        <v>902</v>
      </c>
      <c r="F154" s="452" t="s">
        <v>1045</v>
      </c>
      <c r="G154" s="452" t="s">
        <v>1054</v>
      </c>
      <c r="H154" s="452" t="s">
        <v>1055</v>
      </c>
      <c r="I154" s="453" t="s">
        <v>844</v>
      </c>
      <c r="J154" s="453">
        <v>3874</v>
      </c>
      <c r="K154" s="461">
        <v>1294</v>
      </c>
      <c r="L154" s="461">
        <v>1290</v>
      </c>
      <c r="M154" s="461">
        <v>1290</v>
      </c>
      <c r="N154" s="461">
        <v>0</v>
      </c>
      <c r="O154" s="461">
        <v>0</v>
      </c>
      <c r="P154" s="461">
        <v>0</v>
      </c>
      <c r="Q154" s="461">
        <v>0</v>
      </c>
      <c r="R154" s="461">
        <v>0</v>
      </c>
      <c r="S154" s="461">
        <v>0</v>
      </c>
      <c r="T154" s="461">
        <v>0</v>
      </c>
      <c r="U154" s="461">
        <v>0</v>
      </c>
      <c r="V154" s="461">
        <v>0</v>
      </c>
    </row>
    <row r="155" spans="1:22" s="455" customFormat="1" hidden="1">
      <c r="A155" s="455" t="str">
        <f t="shared" si="4"/>
        <v>11119101001410</v>
      </c>
      <c r="B155" s="455">
        <f>VLOOKUP(LEFT($C$3:$C$2600,3),Table!$D$2:$E$88,2,FALSE)</f>
        <v>0</v>
      </c>
      <c r="C155" s="455" t="str">
        <f t="shared" si="5"/>
        <v>9101001410</v>
      </c>
      <c r="D155" s="455" t="e">
        <f>VLOOKUP(G155,Table!$G$3:$H$21,2,FALSE)</f>
        <v>#N/A</v>
      </c>
      <c r="E155" s="452" t="s">
        <v>902</v>
      </c>
      <c r="F155" s="452" t="s">
        <v>1045</v>
      </c>
      <c r="G155" s="452" t="s">
        <v>1056</v>
      </c>
      <c r="H155" s="452" t="s">
        <v>1057</v>
      </c>
      <c r="I155" s="453" t="s">
        <v>844</v>
      </c>
      <c r="J155" s="453">
        <v>90</v>
      </c>
      <c r="K155" s="461">
        <v>30</v>
      </c>
      <c r="L155" s="461">
        <v>30</v>
      </c>
      <c r="M155" s="461">
        <v>30</v>
      </c>
      <c r="N155" s="461">
        <v>0</v>
      </c>
      <c r="O155" s="461">
        <v>0</v>
      </c>
      <c r="P155" s="461">
        <v>0</v>
      </c>
      <c r="Q155" s="461">
        <v>0</v>
      </c>
      <c r="R155" s="461">
        <v>0</v>
      </c>
      <c r="S155" s="461">
        <v>0</v>
      </c>
      <c r="T155" s="461">
        <v>0</v>
      </c>
      <c r="U155" s="461">
        <v>0</v>
      </c>
      <c r="V155" s="461">
        <v>0</v>
      </c>
    </row>
    <row r="156" spans="1:22" s="455" customFormat="1" hidden="1">
      <c r="A156" s="455" t="str">
        <f t="shared" si="4"/>
        <v>11119101001500</v>
      </c>
      <c r="B156" s="455">
        <f>VLOOKUP(LEFT($C$3:$C$2600,3),Table!$D$2:$E$88,2,FALSE)</f>
        <v>0</v>
      </c>
      <c r="C156" s="455" t="str">
        <f t="shared" si="5"/>
        <v>9101001500</v>
      </c>
      <c r="D156" s="455" t="e">
        <f>VLOOKUP(G156,Table!$G$3:$H$21,2,FALSE)</f>
        <v>#N/A</v>
      </c>
      <c r="E156" s="452" t="s">
        <v>902</v>
      </c>
      <c r="F156" s="452" t="s">
        <v>1045</v>
      </c>
      <c r="G156" s="452" t="s">
        <v>1058</v>
      </c>
      <c r="H156" s="452" t="s">
        <v>1059</v>
      </c>
      <c r="I156" s="453" t="s">
        <v>844</v>
      </c>
      <c r="J156" s="453">
        <v>464.85</v>
      </c>
      <c r="K156" s="461">
        <v>154.94999999999999</v>
      </c>
      <c r="L156" s="461">
        <v>154.94999999999999</v>
      </c>
      <c r="M156" s="461">
        <v>154.94999999999999</v>
      </c>
      <c r="N156" s="461">
        <v>0</v>
      </c>
      <c r="O156" s="461">
        <v>0</v>
      </c>
      <c r="P156" s="461">
        <v>0</v>
      </c>
      <c r="Q156" s="461">
        <v>0</v>
      </c>
      <c r="R156" s="461">
        <v>0</v>
      </c>
      <c r="S156" s="461">
        <v>0</v>
      </c>
      <c r="T156" s="461">
        <v>0</v>
      </c>
      <c r="U156" s="461">
        <v>0</v>
      </c>
      <c r="V156" s="461">
        <v>0</v>
      </c>
    </row>
    <row r="157" spans="1:22" s="455" customFormat="1" hidden="1">
      <c r="A157" s="455" t="str">
        <f t="shared" si="4"/>
        <v>11119101001600</v>
      </c>
      <c r="B157" s="455">
        <f>VLOOKUP(LEFT($C$3:$C$2600,3),Table!$D$2:$E$88,2,FALSE)</f>
        <v>0</v>
      </c>
      <c r="C157" s="455" t="str">
        <f t="shared" si="5"/>
        <v>9101001600</v>
      </c>
      <c r="D157" s="455" t="e">
        <f>VLOOKUP(G157,Table!$G$3:$H$21,2,FALSE)</f>
        <v>#N/A</v>
      </c>
      <c r="E157" s="452" t="s">
        <v>902</v>
      </c>
      <c r="F157" s="452" t="s">
        <v>1045</v>
      </c>
      <c r="G157" s="452" t="s">
        <v>1060</v>
      </c>
      <c r="H157" s="452" t="s">
        <v>1061</v>
      </c>
      <c r="I157" s="453" t="s">
        <v>844</v>
      </c>
      <c r="J157" s="453">
        <v>5063.07</v>
      </c>
      <c r="K157" s="461">
        <v>1687.69</v>
      </c>
      <c r="L157" s="461">
        <v>1687.69</v>
      </c>
      <c r="M157" s="461">
        <v>1687.69</v>
      </c>
      <c r="N157" s="461">
        <v>0</v>
      </c>
      <c r="O157" s="461">
        <v>0</v>
      </c>
      <c r="P157" s="461">
        <v>0</v>
      </c>
      <c r="Q157" s="461">
        <v>0</v>
      </c>
      <c r="R157" s="461">
        <v>0</v>
      </c>
      <c r="S157" s="461">
        <v>0</v>
      </c>
      <c r="T157" s="461">
        <v>0</v>
      </c>
      <c r="U157" s="461">
        <v>0</v>
      </c>
      <c r="V157" s="461">
        <v>0</v>
      </c>
    </row>
    <row r="158" spans="1:22" s="455" customFormat="1" hidden="1">
      <c r="A158" s="455" t="str">
        <f t="shared" si="4"/>
        <v>11119101001700</v>
      </c>
      <c r="B158" s="455">
        <f>VLOOKUP(LEFT($C$3:$C$2600,3),Table!$D$2:$E$88,2,FALSE)</f>
        <v>0</v>
      </c>
      <c r="C158" s="455" t="str">
        <f t="shared" si="5"/>
        <v>9101001700</v>
      </c>
      <c r="D158" s="455" t="e">
        <f>VLOOKUP(G158,Table!$G$3:$H$21,2,FALSE)</f>
        <v>#N/A</v>
      </c>
      <c r="E158" s="452" t="s">
        <v>902</v>
      </c>
      <c r="F158" s="452" t="s">
        <v>1045</v>
      </c>
      <c r="G158" s="452" t="s">
        <v>1062</v>
      </c>
      <c r="H158" s="452" t="s">
        <v>1063</v>
      </c>
      <c r="I158" s="453" t="s">
        <v>844</v>
      </c>
      <c r="J158" s="453">
        <v>-10311.1</v>
      </c>
      <c r="K158" s="461">
        <v>-67.16</v>
      </c>
      <c r="L158" s="461">
        <v>354.69</v>
      </c>
      <c r="M158" s="461">
        <v>445.98</v>
      </c>
      <c r="N158" s="461">
        <v>0</v>
      </c>
      <c r="O158" s="461">
        <v>0</v>
      </c>
      <c r="P158" s="461">
        <v>0</v>
      </c>
      <c r="Q158" s="461">
        <v>0</v>
      </c>
      <c r="R158" s="461">
        <v>0</v>
      </c>
      <c r="S158" s="461">
        <v>0</v>
      </c>
      <c r="T158" s="461">
        <v>0</v>
      </c>
      <c r="U158" s="461">
        <v>0</v>
      </c>
      <c r="V158" s="461">
        <v>0</v>
      </c>
    </row>
    <row r="159" spans="1:22" s="455" customFormat="1" hidden="1">
      <c r="A159" s="455" t="str">
        <f t="shared" si="4"/>
        <v>11119101001800</v>
      </c>
      <c r="B159" s="455">
        <f>VLOOKUP(LEFT($C$3:$C$2600,3),Table!$D$2:$E$88,2,FALSE)</f>
        <v>0</v>
      </c>
      <c r="C159" s="455" t="str">
        <f t="shared" si="5"/>
        <v>9101001800</v>
      </c>
      <c r="D159" s="455" t="e">
        <f>VLOOKUP(G159,Table!$G$3:$H$21,2,FALSE)</f>
        <v>#N/A</v>
      </c>
      <c r="E159" s="452" t="s">
        <v>902</v>
      </c>
      <c r="F159" s="452" t="s">
        <v>1045</v>
      </c>
      <c r="G159" s="452" t="s">
        <v>1064</v>
      </c>
      <c r="H159" s="452" t="s">
        <v>1065</v>
      </c>
      <c r="I159" s="453" t="s">
        <v>844</v>
      </c>
      <c r="J159" s="453">
        <v>1203</v>
      </c>
      <c r="K159" s="461">
        <v>390.7</v>
      </c>
      <c r="L159" s="461">
        <v>400.9</v>
      </c>
      <c r="M159" s="461">
        <v>411.4</v>
      </c>
      <c r="N159" s="461">
        <v>0</v>
      </c>
      <c r="O159" s="461">
        <v>0</v>
      </c>
      <c r="P159" s="461">
        <v>0</v>
      </c>
      <c r="Q159" s="461">
        <v>0</v>
      </c>
      <c r="R159" s="461">
        <v>0</v>
      </c>
      <c r="S159" s="461">
        <v>0</v>
      </c>
      <c r="T159" s="461">
        <v>0</v>
      </c>
      <c r="U159" s="461">
        <v>0</v>
      </c>
      <c r="V159" s="461">
        <v>0</v>
      </c>
    </row>
    <row r="160" spans="1:22" s="455" customFormat="1" hidden="1">
      <c r="A160" s="455" t="str">
        <f t="shared" si="4"/>
        <v>11119101001900</v>
      </c>
      <c r="B160" s="455">
        <f>VLOOKUP(LEFT($C$3:$C$2600,3),Table!$D$2:$E$88,2,FALSE)</f>
        <v>0</v>
      </c>
      <c r="C160" s="455" t="str">
        <f t="shared" si="5"/>
        <v>9101001900</v>
      </c>
      <c r="D160" s="455" t="e">
        <f>VLOOKUP(G160,Table!$G$3:$H$21,2,FALSE)</f>
        <v>#N/A</v>
      </c>
      <c r="E160" s="452" t="s">
        <v>902</v>
      </c>
      <c r="F160" s="452" t="s">
        <v>1045</v>
      </c>
      <c r="G160" s="452" t="s">
        <v>1066</v>
      </c>
      <c r="H160" s="452" t="s">
        <v>1007</v>
      </c>
      <c r="I160" s="453" t="s">
        <v>844</v>
      </c>
      <c r="J160" s="453">
        <v>255.5</v>
      </c>
      <c r="K160" s="461">
        <v>85.16</v>
      </c>
      <c r="L160" s="461">
        <v>85.18</v>
      </c>
      <c r="M160" s="461">
        <v>85.16</v>
      </c>
      <c r="N160" s="461">
        <v>0</v>
      </c>
      <c r="O160" s="461">
        <v>0</v>
      </c>
      <c r="P160" s="461">
        <v>0</v>
      </c>
      <c r="Q160" s="461">
        <v>0</v>
      </c>
      <c r="R160" s="461">
        <v>0</v>
      </c>
      <c r="S160" s="461">
        <v>0</v>
      </c>
      <c r="T160" s="461">
        <v>0</v>
      </c>
      <c r="U160" s="461">
        <v>0</v>
      </c>
      <c r="V160" s="461">
        <v>0</v>
      </c>
    </row>
    <row r="161" spans="1:22" s="455" customFormat="1" hidden="1">
      <c r="A161" s="455" t="str">
        <f t="shared" si="4"/>
        <v>11119101101000</v>
      </c>
      <c r="B161" s="455">
        <f>VLOOKUP(LEFT($C$3:$C$2600,3),Table!$D$2:$E$88,2,FALSE)</f>
        <v>0</v>
      </c>
      <c r="C161" s="455" t="str">
        <f t="shared" si="5"/>
        <v>9101101000</v>
      </c>
      <c r="D161" s="455" t="e">
        <f>VLOOKUP(G161,Table!$G$3:$H$21,2,FALSE)</f>
        <v>#N/A</v>
      </c>
      <c r="E161" s="452" t="s">
        <v>902</v>
      </c>
      <c r="F161" s="452" t="s">
        <v>1045</v>
      </c>
      <c r="G161" s="452" t="s">
        <v>1067</v>
      </c>
      <c r="H161" s="452" t="s">
        <v>1068</v>
      </c>
      <c r="I161" s="453" t="s">
        <v>844</v>
      </c>
      <c r="J161" s="453">
        <v>38650.019999999997</v>
      </c>
      <c r="K161" s="461">
        <v>15108.35</v>
      </c>
      <c r="L161" s="461">
        <v>12512.96</v>
      </c>
      <c r="M161" s="461">
        <v>13012.84</v>
      </c>
      <c r="N161" s="461">
        <v>0</v>
      </c>
      <c r="O161" s="461">
        <v>0</v>
      </c>
      <c r="P161" s="461">
        <v>0</v>
      </c>
      <c r="Q161" s="461">
        <v>0</v>
      </c>
      <c r="R161" s="461">
        <v>0</v>
      </c>
      <c r="S161" s="461">
        <v>0</v>
      </c>
      <c r="T161" s="461">
        <v>0</v>
      </c>
      <c r="U161" s="461">
        <v>0</v>
      </c>
      <c r="V161" s="461">
        <v>0</v>
      </c>
    </row>
    <row r="162" spans="1:22" s="455" customFormat="1" hidden="1">
      <c r="A162" s="455" t="str">
        <f t="shared" si="4"/>
        <v>11119101101100</v>
      </c>
      <c r="B162" s="455">
        <f>VLOOKUP(LEFT($C$3:$C$2600,3),Table!$D$2:$E$88,2,FALSE)</f>
        <v>0</v>
      </c>
      <c r="C162" s="455" t="str">
        <f t="shared" si="5"/>
        <v>9101101100</v>
      </c>
      <c r="D162" s="455" t="e">
        <f>VLOOKUP(G162,Table!$G$3:$H$21,2,FALSE)</f>
        <v>#N/A</v>
      </c>
      <c r="E162" s="452" t="s">
        <v>902</v>
      </c>
      <c r="F162" s="452" t="s">
        <v>1045</v>
      </c>
      <c r="G162" s="452" t="s">
        <v>1069</v>
      </c>
      <c r="H162" s="452" t="s">
        <v>1070</v>
      </c>
      <c r="I162" s="453" t="s">
        <v>844</v>
      </c>
      <c r="J162" s="453">
        <v>32983.300000000003</v>
      </c>
      <c r="K162" s="461">
        <v>11795.27</v>
      </c>
      <c r="L162" s="461">
        <v>13821.46</v>
      </c>
      <c r="M162" s="461">
        <v>9096.2900000000009</v>
      </c>
      <c r="N162" s="461">
        <v>0</v>
      </c>
      <c r="O162" s="461">
        <v>0</v>
      </c>
      <c r="P162" s="461">
        <v>0</v>
      </c>
      <c r="Q162" s="461">
        <v>0</v>
      </c>
      <c r="R162" s="461">
        <v>0</v>
      </c>
      <c r="S162" s="461">
        <v>0</v>
      </c>
      <c r="T162" s="461">
        <v>0</v>
      </c>
      <c r="U162" s="461">
        <v>0</v>
      </c>
      <c r="V162" s="461">
        <v>0</v>
      </c>
    </row>
    <row r="163" spans="1:22" s="455" customFormat="1" hidden="1">
      <c r="A163" s="455" t="str">
        <f t="shared" si="4"/>
        <v>11119101101200</v>
      </c>
      <c r="B163" s="455">
        <f>VLOOKUP(LEFT($C$3:$C$2600,3),Table!$D$2:$E$88,2,FALSE)</f>
        <v>0</v>
      </c>
      <c r="C163" s="455" t="str">
        <f t="shared" si="5"/>
        <v>9101101200</v>
      </c>
      <c r="D163" s="455" t="e">
        <f>VLOOKUP(G163,Table!$G$3:$H$21,2,FALSE)</f>
        <v>#N/A</v>
      </c>
      <c r="E163" s="452" t="s">
        <v>902</v>
      </c>
      <c r="F163" s="452" t="s">
        <v>1045</v>
      </c>
      <c r="G163" s="452" t="s">
        <v>1071</v>
      </c>
      <c r="H163" s="452" t="s">
        <v>1072</v>
      </c>
      <c r="I163" s="453" t="s">
        <v>844</v>
      </c>
      <c r="J163" s="453">
        <v>8348.33</v>
      </c>
      <c r="K163" s="461">
        <v>3192.94</v>
      </c>
      <c r="L163" s="461">
        <v>2507.98</v>
      </c>
      <c r="M163" s="461">
        <v>2647.41</v>
      </c>
      <c r="N163" s="461">
        <v>0</v>
      </c>
      <c r="O163" s="461">
        <v>0</v>
      </c>
      <c r="P163" s="461">
        <v>0</v>
      </c>
      <c r="Q163" s="461">
        <v>0</v>
      </c>
      <c r="R163" s="461">
        <v>0</v>
      </c>
      <c r="S163" s="461">
        <v>0</v>
      </c>
      <c r="T163" s="461">
        <v>0</v>
      </c>
      <c r="U163" s="461">
        <v>0</v>
      </c>
      <c r="V163" s="461">
        <v>0</v>
      </c>
    </row>
    <row r="164" spans="1:22" s="455" customFormat="1" hidden="1">
      <c r="A164" s="455" t="str">
        <f t="shared" si="4"/>
        <v>11119101101300</v>
      </c>
      <c r="B164" s="455">
        <f>VLOOKUP(LEFT($C$3:$C$2600,3),Table!$D$2:$E$88,2,FALSE)</f>
        <v>0</v>
      </c>
      <c r="C164" s="455" t="str">
        <f t="shared" si="5"/>
        <v>9101101300</v>
      </c>
      <c r="D164" s="455" t="e">
        <f>VLOOKUP(G164,Table!$G$3:$H$21,2,FALSE)</f>
        <v>#N/A</v>
      </c>
      <c r="E164" s="452" t="s">
        <v>902</v>
      </c>
      <c r="F164" s="452" t="s">
        <v>1045</v>
      </c>
      <c r="G164" s="452" t="s">
        <v>1073</v>
      </c>
      <c r="H164" s="452" t="s">
        <v>1074</v>
      </c>
      <c r="I164" s="453" t="s">
        <v>844</v>
      </c>
      <c r="J164" s="453">
        <v>1210</v>
      </c>
      <c r="K164" s="461">
        <v>444</v>
      </c>
      <c r="L164" s="461">
        <v>386</v>
      </c>
      <c r="M164" s="461">
        <v>380</v>
      </c>
      <c r="N164" s="461">
        <v>0</v>
      </c>
      <c r="O164" s="461">
        <v>0</v>
      </c>
      <c r="P164" s="461">
        <v>0</v>
      </c>
      <c r="Q164" s="461">
        <v>0</v>
      </c>
      <c r="R164" s="461">
        <v>0</v>
      </c>
      <c r="S164" s="461">
        <v>0</v>
      </c>
      <c r="T164" s="461">
        <v>0</v>
      </c>
      <c r="U164" s="461">
        <v>0</v>
      </c>
      <c r="V164" s="461">
        <v>0</v>
      </c>
    </row>
    <row r="165" spans="1:22" s="455" customFormat="1" hidden="1">
      <c r="A165" s="455" t="str">
        <f t="shared" si="4"/>
        <v>11119101101400</v>
      </c>
      <c r="B165" s="455">
        <f>VLOOKUP(LEFT($C$3:$C$2600,3),Table!$D$2:$E$88,2,FALSE)</f>
        <v>0</v>
      </c>
      <c r="C165" s="455" t="str">
        <f t="shared" si="5"/>
        <v>9101101400</v>
      </c>
      <c r="D165" s="455" t="e">
        <f>VLOOKUP(G165,Table!$G$3:$H$21,2,FALSE)</f>
        <v>#N/A</v>
      </c>
      <c r="E165" s="452" t="s">
        <v>902</v>
      </c>
      <c r="F165" s="452" t="s">
        <v>1045</v>
      </c>
      <c r="G165" s="452" t="s">
        <v>1075</v>
      </c>
      <c r="H165" s="452" t="s">
        <v>1076</v>
      </c>
      <c r="I165" s="453" t="s">
        <v>844</v>
      </c>
      <c r="J165" s="453">
        <v>5491</v>
      </c>
      <c r="K165" s="461">
        <v>2090</v>
      </c>
      <c r="L165" s="461">
        <v>1651</v>
      </c>
      <c r="M165" s="461">
        <v>1750</v>
      </c>
      <c r="N165" s="461">
        <v>0</v>
      </c>
      <c r="O165" s="461">
        <v>0</v>
      </c>
      <c r="P165" s="461">
        <v>0</v>
      </c>
      <c r="Q165" s="461">
        <v>0</v>
      </c>
      <c r="R165" s="461">
        <v>0</v>
      </c>
      <c r="S165" s="461">
        <v>0</v>
      </c>
      <c r="T165" s="461">
        <v>0</v>
      </c>
      <c r="U165" s="461">
        <v>0</v>
      </c>
      <c r="V165" s="461">
        <v>0</v>
      </c>
    </row>
    <row r="166" spans="1:22" s="455" customFormat="1" hidden="1">
      <c r="A166" s="455" t="str">
        <f t="shared" si="4"/>
        <v>11119101101410</v>
      </c>
      <c r="B166" s="455">
        <f>VLOOKUP(LEFT($C$3:$C$2600,3),Table!$D$2:$E$88,2,FALSE)</f>
        <v>0</v>
      </c>
      <c r="C166" s="455" t="str">
        <f t="shared" si="5"/>
        <v>9101101410</v>
      </c>
      <c r="D166" s="455" t="e">
        <f>VLOOKUP(G166,Table!$G$3:$H$21,2,FALSE)</f>
        <v>#N/A</v>
      </c>
      <c r="E166" s="452" t="s">
        <v>902</v>
      </c>
      <c r="F166" s="452" t="s">
        <v>1045</v>
      </c>
      <c r="G166" s="452" t="s">
        <v>1077</v>
      </c>
      <c r="H166" s="452" t="s">
        <v>1078</v>
      </c>
      <c r="I166" s="453" t="s">
        <v>844</v>
      </c>
      <c r="J166" s="453">
        <v>135</v>
      </c>
      <c r="K166" s="461">
        <v>45</v>
      </c>
      <c r="L166" s="461">
        <v>45</v>
      </c>
      <c r="M166" s="461">
        <v>45</v>
      </c>
      <c r="N166" s="461">
        <v>0</v>
      </c>
      <c r="O166" s="461">
        <v>0</v>
      </c>
      <c r="P166" s="461">
        <v>0</v>
      </c>
      <c r="Q166" s="461">
        <v>0</v>
      </c>
      <c r="R166" s="461">
        <v>0</v>
      </c>
      <c r="S166" s="461">
        <v>0</v>
      </c>
      <c r="T166" s="461">
        <v>0</v>
      </c>
      <c r="U166" s="461">
        <v>0</v>
      </c>
      <c r="V166" s="461">
        <v>0</v>
      </c>
    </row>
    <row r="167" spans="1:22" s="455" customFormat="1" hidden="1">
      <c r="A167" s="455" t="str">
        <f t="shared" si="4"/>
        <v>11119101101500</v>
      </c>
      <c r="B167" s="455">
        <f>VLOOKUP(LEFT($C$3:$C$2600,3),Table!$D$2:$E$88,2,FALSE)</f>
        <v>0</v>
      </c>
      <c r="C167" s="455" t="str">
        <f t="shared" si="5"/>
        <v>9101101500</v>
      </c>
      <c r="D167" s="455" t="e">
        <f>VLOOKUP(G167,Table!$G$3:$H$21,2,FALSE)</f>
        <v>#N/A</v>
      </c>
      <c r="E167" s="452" t="s">
        <v>902</v>
      </c>
      <c r="F167" s="452" t="s">
        <v>1045</v>
      </c>
      <c r="G167" s="452" t="s">
        <v>1079</v>
      </c>
      <c r="H167" s="452" t="s">
        <v>1080</v>
      </c>
      <c r="I167" s="453" t="s">
        <v>844</v>
      </c>
      <c r="J167" s="453">
        <v>1041.4000000000001</v>
      </c>
      <c r="K167" s="461">
        <v>369.2</v>
      </c>
      <c r="L167" s="461">
        <v>338.75</v>
      </c>
      <c r="M167" s="461">
        <v>333.45</v>
      </c>
      <c r="N167" s="461">
        <v>0</v>
      </c>
      <c r="O167" s="461">
        <v>0</v>
      </c>
      <c r="P167" s="461">
        <v>0</v>
      </c>
      <c r="Q167" s="461">
        <v>0</v>
      </c>
      <c r="R167" s="461">
        <v>0</v>
      </c>
      <c r="S167" s="461">
        <v>0</v>
      </c>
      <c r="T167" s="461">
        <v>0</v>
      </c>
      <c r="U167" s="461">
        <v>0</v>
      </c>
      <c r="V167" s="461">
        <v>0</v>
      </c>
    </row>
    <row r="168" spans="1:22" s="455" customFormat="1" hidden="1">
      <c r="A168" s="455" t="str">
        <f t="shared" si="4"/>
        <v>11119101101600</v>
      </c>
      <c r="B168" s="455">
        <f>VLOOKUP(LEFT($C$3:$C$2600,3),Table!$D$2:$E$88,2,FALSE)</f>
        <v>0</v>
      </c>
      <c r="C168" s="455" t="str">
        <f t="shared" si="5"/>
        <v>9101101600</v>
      </c>
      <c r="D168" s="455" t="e">
        <f>VLOOKUP(G168,Table!$G$3:$H$21,2,FALSE)</f>
        <v>#N/A</v>
      </c>
      <c r="E168" s="452" t="s">
        <v>902</v>
      </c>
      <c r="F168" s="452" t="s">
        <v>1045</v>
      </c>
      <c r="G168" s="452" t="s">
        <v>1081</v>
      </c>
      <c r="H168" s="452" t="s">
        <v>1082</v>
      </c>
      <c r="I168" s="453" t="s">
        <v>844</v>
      </c>
      <c r="J168" s="453">
        <v>10583.29</v>
      </c>
      <c r="K168" s="461">
        <v>3821.53</v>
      </c>
      <c r="L168" s="461">
        <v>3380.88</v>
      </c>
      <c r="M168" s="461">
        <v>3380.88</v>
      </c>
      <c r="N168" s="461">
        <v>0</v>
      </c>
      <c r="O168" s="461">
        <v>0</v>
      </c>
      <c r="P168" s="461">
        <v>0</v>
      </c>
      <c r="Q168" s="461">
        <v>0</v>
      </c>
      <c r="R168" s="461">
        <v>0</v>
      </c>
      <c r="S168" s="461">
        <v>0</v>
      </c>
      <c r="T168" s="461">
        <v>0</v>
      </c>
      <c r="U168" s="461">
        <v>0</v>
      </c>
      <c r="V168" s="461">
        <v>0</v>
      </c>
    </row>
    <row r="169" spans="1:22" s="455" customFormat="1" hidden="1">
      <c r="A169" s="455" t="str">
        <f t="shared" si="4"/>
        <v>11119101101700</v>
      </c>
      <c r="B169" s="455">
        <f>VLOOKUP(LEFT($C$3:$C$2600,3),Table!$D$2:$E$88,2,FALSE)</f>
        <v>0</v>
      </c>
      <c r="C169" s="455" t="str">
        <f t="shared" si="5"/>
        <v>9101101700</v>
      </c>
      <c r="D169" s="455" t="e">
        <f>VLOOKUP(G169,Table!$G$3:$H$21,2,FALSE)</f>
        <v>#N/A</v>
      </c>
      <c r="E169" s="452" t="s">
        <v>902</v>
      </c>
      <c r="F169" s="452" t="s">
        <v>1045</v>
      </c>
      <c r="G169" s="452" t="s">
        <v>1083</v>
      </c>
      <c r="H169" s="452" t="s">
        <v>1084</v>
      </c>
      <c r="I169" s="453" t="s">
        <v>844</v>
      </c>
      <c r="J169" s="453">
        <v>-14183.04</v>
      </c>
      <c r="K169" s="461">
        <v>-24.83</v>
      </c>
      <c r="L169" s="461">
        <v>-1692.39</v>
      </c>
      <c r="M169" s="461">
        <v>182.31</v>
      </c>
      <c r="N169" s="461">
        <v>0</v>
      </c>
      <c r="O169" s="461">
        <v>0</v>
      </c>
      <c r="P169" s="461">
        <v>0</v>
      </c>
      <c r="Q169" s="461">
        <v>0</v>
      </c>
      <c r="R169" s="461">
        <v>0</v>
      </c>
      <c r="S169" s="461">
        <v>0</v>
      </c>
      <c r="T169" s="461">
        <v>0</v>
      </c>
      <c r="U169" s="461">
        <v>0</v>
      </c>
      <c r="V169" s="461">
        <v>0</v>
      </c>
    </row>
    <row r="170" spans="1:22" s="455" customFormat="1" hidden="1">
      <c r="A170" s="455" t="str">
        <f t="shared" si="4"/>
        <v>11119101101800</v>
      </c>
      <c r="B170" s="455">
        <f>VLOOKUP(LEFT($C$3:$C$2600,3),Table!$D$2:$E$88,2,FALSE)</f>
        <v>0</v>
      </c>
      <c r="C170" s="455" t="str">
        <f t="shared" si="5"/>
        <v>9101101800</v>
      </c>
      <c r="D170" s="455" t="e">
        <f>VLOOKUP(G170,Table!$G$3:$H$21,2,FALSE)</f>
        <v>#N/A</v>
      </c>
      <c r="E170" s="452" t="s">
        <v>902</v>
      </c>
      <c r="F170" s="452" t="s">
        <v>1045</v>
      </c>
      <c r="G170" s="452" t="s">
        <v>1085</v>
      </c>
      <c r="H170" s="452" t="s">
        <v>1086</v>
      </c>
      <c r="I170" s="453" t="s">
        <v>844</v>
      </c>
      <c r="J170" s="453">
        <v>5849.4</v>
      </c>
      <c r="K170" s="461">
        <v>2167.6999999999998</v>
      </c>
      <c r="L170" s="461">
        <v>1874.7</v>
      </c>
      <c r="M170" s="461">
        <v>1807</v>
      </c>
      <c r="N170" s="461">
        <v>0</v>
      </c>
      <c r="O170" s="461">
        <v>0</v>
      </c>
      <c r="P170" s="461">
        <v>0</v>
      </c>
      <c r="Q170" s="461">
        <v>0</v>
      </c>
      <c r="R170" s="461">
        <v>0</v>
      </c>
      <c r="S170" s="461">
        <v>0</v>
      </c>
      <c r="T170" s="461">
        <v>0</v>
      </c>
      <c r="U170" s="461">
        <v>0</v>
      </c>
      <c r="V170" s="461">
        <v>0</v>
      </c>
    </row>
    <row r="171" spans="1:22" s="455" customFormat="1" hidden="1">
      <c r="A171" s="455" t="str">
        <f t="shared" si="4"/>
        <v>11119101101900</v>
      </c>
      <c r="B171" s="455">
        <f>VLOOKUP(LEFT($C$3:$C$2600,3),Table!$D$2:$E$88,2,FALSE)</f>
        <v>0</v>
      </c>
      <c r="C171" s="455" t="str">
        <f t="shared" si="5"/>
        <v>9101101900</v>
      </c>
      <c r="D171" s="455" t="e">
        <f>VLOOKUP(G171,Table!$G$3:$H$21,2,FALSE)</f>
        <v>#N/A</v>
      </c>
      <c r="E171" s="452" t="s">
        <v>902</v>
      </c>
      <c r="F171" s="452" t="s">
        <v>1045</v>
      </c>
      <c r="G171" s="452" t="s">
        <v>1087</v>
      </c>
      <c r="H171" s="452" t="s">
        <v>1088</v>
      </c>
      <c r="I171" s="453" t="s">
        <v>844</v>
      </c>
      <c r="J171" s="453">
        <v>512.46</v>
      </c>
      <c r="K171" s="461">
        <v>188.81</v>
      </c>
      <c r="L171" s="461">
        <v>157.76</v>
      </c>
      <c r="M171" s="461">
        <v>165.89</v>
      </c>
      <c r="N171" s="461">
        <v>0</v>
      </c>
      <c r="O171" s="461">
        <v>0</v>
      </c>
      <c r="P171" s="461">
        <v>0</v>
      </c>
      <c r="Q171" s="461">
        <v>0</v>
      </c>
      <c r="R171" s="461">
        <v>0</v>
      </c>
      <c r="S171" s="461">
        <v>0</v>
      </c>
      <c r="T171" s="461">
        <v>0</v>
      </c>
      <c r="U171" s="461">
        <v>0</v>
      </c>
      <c r="V171" s="461">
        <v>0</v>
      </c>
    </row>
    <row r="172" spans="1:22" s="455" customFormat="1" hidden="1">
      <c r="A172" s="455" t="str">
        <f t="shared" si="4"/>
        <v>11119101201000</v>
      </c>
      <c r="B172" s="455">
        <f>VLOOKUP(LEFT($C$3:$C$2600,3),Table!$D$2:$E$88,2,FALSE)</f>
        <v>0</v>
      </c>
      <c r="C172" s="455" t="str">
        <f t="shared" si="5"/>
        <v>9101201000</v>
      </c>
      <c r="D172" s="455" t="e">
        <f>VLOOKUP(G172,Table!$G$3:$H$21,2,FALSE)</f>
        <v>#N/A</v>
      </c>
      <c r="E172" s="452" t="s">
        <v>902</v>
      </c>
      <c r="F172" s="452" t="s">
        <v>1045</v>
      </c>
      <c r="G172" s="452" t="s">
        <v>1091</v>
      </c>
      <c r="H172" s="452" t="s">
        <v>1092</v>
      </c>
      <c r="I172" s="453" t="s">
        <v>844</v>
      </c>
      <c r="J172" s="453">
        <v>88134</v>
      </c>
      <c r="K172" s="461">
        <v>29423</v>
      </c>
      <c r="L172" s="461">
        <v>29128</v>
      </c>
      <c r="M172" s="461">
        <v>29583</v>
      </c>
      <c r="N172" s="461">
        <v>0</v>
      </c>
      <c r="O172" s="461">
        <v>0</v>
      </c>
      <c r="P172" s="461">
        <v>0</v>
      </c>
      <c r="Q172" s="461">
        <v>0</v>
      </c>
      <c r="R172" s="461">
        <v>0</v>
      </c>
      <c r="S172" s="461">
        <v>0</v>
      </c>
      <c r="T172" s="461">
        <v>0</v>
      </c>
      <c r="U172" s="461">
        <v>0</v>
      </c>
      <c r="V172" s="461">
        <v>0</v>
      </c>
    </row>
    <row r="173" spans="1:22" s="455" customFormat="1" hidden="1">
      <c r="A173" s="455" t="str">
        <f t="shared" si="4"/>
        <v>11119101201400</v>
      </c>
      <c r="B173" s="455">
        <f>VLOOKUP(LEFT($C$3:$C$2600,3),Table!$D$2:$E$88,2,FALSE)</f>
        <v>0</v>
      </c>
      <c r="C173" s="455" t="str">
        <f t="shared" si="5"/>
        <v>9101201400</v>
      </c>
      <c r="D173" s="455" t="e">
        <f>VLOOKUP(G173,Table!$G$3:$H$21,2,FALSE)</f>
        <v>#N/A</v>
      </c>
      <c r="E173" s="452" t="s">
        <v>902</v>
      </c>
      <c r="F173" s="452" t="s">
        <v>1045</v>
      </c>
      <c r="G173" s="452" t="s">
        <v>1093</v>
      </c>
      <c r="H173" s="452" t="s">
        <v>1094</v>
      </c>
      <c r="I173" s="453" t="s">
        <v>844</v>
      </c>
      <c r="J173" s="453">
        <v>179872.84</v>
      </c>
      <c r="K173" s="461">
        <v>55638</v>
      </c>
      <c r="L173" s="461">
        <v>60308</v>
      </c>
      <c r="M173" s="461">
        <v>63926.84</v>
      </c>
      <c r="N173" s="461">
        <v>0</v>
      </c>
      <c r="O173" s="461">
        <v>0</v>
      </c>
      <c r="P173" s="461">
        <v>0</v>
      </c>
      <c r="Q173" s="461">
        <v>0</v>
      </c>
      <c r="R173" s="461">
        <v>0</v>
      </c>
      <c r="S173" s="461">
        <v>0</v>
      </c>
      <c r="T173" s="461">
        <v>0</v>
      </c>
      <c r="U173" s="461">
        <v>0</v>
      </c>
      <c r="V173" s="461">
        <v>0</v>
      </c>
    </row>
    <row r="174" spans="1:22" s="455" customFormat="1" hidden="1">
      <c r="A174" s="455" t="str">
        <f t="shared" si="4"/>
        <v>11119101302500</v>
      </c>
      <c r="B174" s="455">
        <f>VLOOKUP(LEFT($C$3:$C$2600,3),Table!$D$2:$E$88,2,FALSE)</f>
        <v>0</v>
      </c>
      <c r="C174" s="455" t="str">
        <f t="shared" si="5"/>
        <v>9101302500</v>
      </c>
      <c r="D174" s="455" t="e">
        <f>VLOOKUP(G174,Table!$G$3:$H$21,2,FALSE)</f>
        <v>#N/A</v>
      </c>
      <c r="E174" s="452" t="s">
        <v>902</v>
      </c>
      <c r="F174" s="452" t="s">
        <v>1045</v>
      </c>
      <c r="G174" s="452" t="s">
        <v>973</v>
      </c>
      <c r="H174" s="452" t="s">
        <v>974</v>
      </c>
      <c r="I174" s="453" t="s">
        <v>844</v>
      </c>
      <c r="J174" s="453">
        <v>7480</v>
      </c>
      <c r="K174" s="461">
        <v>2165</v>
      </c>
      <c r="L174" s="461">
        <v>3975</v>
      </c>
      <c r="M174" s="461">
        <v>2989</v>
      </c>
      <c r="N174" s="461">
        <v>0</v>
      </c>
      <c r="O174" s="461">
        <v>0</v>
      </c>
      <c r="P174" s="461">
        <v>0</v>
      </c>
      <c r="Q174" s="461">
        <v>0</v>
      </c>
      <c r="R174" s="461">
        <v>0</v>
      </c>
      <c r="S174" s="461">
        <v>0</v>
      </c>
      <c r="T174" s="461">
        <v>0</v>
      </c>
      <c r="U174" s="461">
        <v>0</v>
      </c>
      <c r="V174" s="461">
        <v>0</v>
      </c>
    </row>
    <row r="175" spans="1:22" s="455" customFormat="1" hidden="1">
      <c r="A175" s="455" t="str">
        <f t="shared" si="4"/>
        <v>11119152014111</v>
      </c>
      <c r="B175" s="455">
        <f>VLOOKUP(LEFT($C$3:$C$2600,3),Table!$D$2:$E$88,2,FALSE)</f>
        <v>0</v>
      </c>
      <c r="C175" s="455" t="str">
        <f t="shared" si="5"/>
        <v>9152014111</v>
      </c>
      <c r="D175" s="455" t="e">
        <f>VLOOKUP(G175,Table!$G$3:$H$21,2,FALSE)</f>
        <v>#N/A</v>
      </c>
      <c r="E175" s="452" t="s">
        <v>902</v>
      </c>
      <c r="F175" s="452" t="s">
        <v>1045</v>
      </c>
      <c r="G175" s="452" t="s">
        <v>1095</v>
      </c>
      <c r="H175" s="452" t="s">
        <v>1096</v>
      </c>
      <c r="I175" s="453" t="s">
        <v>844</v>
      </c>
      <c r="J175" s="453">
        <v>3375</v>
      </c>
      <c r="K175" s="461">
        <v>0</v>
      </c>
      <c r="L175" s="461">
        <v>0</v>
      </c>
      <c r="M175" s="461">
        <v>3375</v>
      </c>
      <c r="N175" s="461">
        <v>0</v>
      </c>
      <c r="O175" s="461">
        <v>0</v>
      </c>
      <c r="P175" s="461">
        <v>0</v>
      </c>
      <c r="Q175" s="461">
        <v>0</v>
      </c>
      <c r="R175" s="461">
        <v>0</v>
      </c>
      <c r="S175" s="461">
        <v>0</v>
      </c>
      <c r="T175" s="461">
        <v>0</v>
      </c>
      <c r="U175" s="461">
        <v>0</v>
      </c>
      <c r="V175" s="461">
        <v>0</v>
      </c>
    </row>
    <row r="176" spans="1:22" s="455" customFormat="1" hidden="1">
      <c r="A176" s="455" t="str">
        <f t="shared" si="4"/>
        <v>11119152014171</v>
      </c>
      <c r="B176" s="455">
        <f>VLOOKUP(LEFT($C$3:$C$2600,3),Table!$D$2:$E$88,2,FALSE)</f>
        <v>0</v>
      </c>
      <c r="C176" s="455" t="str">
        <f t="shared" si="5"/>
        <v>9152014171</v>
      </c>
      <c r="D176" s="455" t="e">
        <f>VLOOKUP(G176,Table!$G$3:$H$21,2,FALSE)</f>
        <v>#N/A</v>
      </c>
      <c r="E176" s="452" t="s">
        <v>902</v>
      </c>
      <c r="F176" s="452" t="s">
        <v>1045</v>
      </c>
      <c r="G176" s="452" t="s">
        <v>1097</v>
      </c>
      <c r="H176" s="452" t="s">
        <v>1098</v>
      </c>
      <c r="I176" s="453" t="s">
        <v>844</v>
      </c>
      <c r="J176" s="453">
        <v>2000</v>
      </c>
      <c r="K176" s="461">
        <v>1000</v>
      </c>
      <c r="L176" s="461">
        <v>500</v>
      </c>
      <c r="M176" s="461">
        <v>500</v>
      </c>
      <c r="N176" s="461">
        <v>0</v>
      </c>
      <c r="O176" s="461">
        <v>0</v>
      </c>
      <c r="P176" s="461">
        <v>0</v>
      </c>
      <c r="Q176" s="461">
        <v>0</v>
      </c>
      <c r="R176" s="461">
        <v>0</v>
      </c>
      <c r="S176" s="461">
        <v>0</v>
      </c>
      <c r="T176" s="461">
        <v>0</v>
      </c>
      <c r="U176" s="461">
        <v>0</v>
      </c>
      <c r="V176" s="461">
        <v>0</v>
      </c>
    </row>
    <row r="177" spans="1:22" s="455" customFormat="1" hidden="1">
      <c r="A177" s="455" t="str">
        <f t="shared" si="4"/>
        <v>11119152060111</v>
      </c>
      <c r="B177" s="455">
        <f>VLOOKUP(LEFT($C$3:$C$2600,3),Table!$D$2:$E$88,2,FALSE)</f>
        <v>0</v>
      </c>
      <c r="C177" s="455" t="str">
        <f t="shared" si="5"/>
        <v>9152060111</v>
      </c>
      <c r="D177" s="455" t="e">
        <f>VLOOKUP(G177,Table!$G$3:$H$21,2,FALSE)</f>
        <v>#N/A</v>
      </c>
      <c r="E177" s="452" t="s">
        <v>902</v>
      </c>
      <c r="F177" s="452" t="s">
        <v>1045</v>
      </c>
      <c r="G177" s="452" t="s">
        <v>1099</v>
      </c>
      <c r="H177" s="452" t="s">
        <v>1100</v>
      </c>
      <c r="I177" s="453" t="s">
        <v>844</v>
      </c>
      <c r="J177" s="453">
        <v>12608.6</v>
      </c>
      <c r="K177" s="461">
        <v>7800</v>
      </c>
      <c r="L177" s="461">
        <v>3958.6</v>
      </c>
      <c r="M177" s="461">
        <v>1250</v>
      </c>
      <c r="N177" s="461">
        <v>0</v>
      </c>
      <c r="O177" s="461">
        <v>0</v>
      </c>
      <c r="P177" s="461">
        <v>0</v>
      </c>
      <c r="Q177" s="461">
        <v>0</v>
      </c>
      <c r="R177" s="461">
        <v>0</v>
      </c>
      <c r="S177" s="461">
        <v>0</v>
      </c>
      <c r="T177" s="461">
        <v>0</v>
      </c>
      <c r="U177" s="461">
        <v>0</v>
      </c>
      <c r="V177" s="461">
        <v>0</v>
      </c>
    </row>
    <row r="178" spans="1:22" s="455" customFormat="1" hidden="1">
      <c r="A178" s="455" t="str">
        <f t="shared" si="4"/>
        <v>11119152060121</v>
      </c>
      <c r="B178" s="455">
        <f>VLOOKUP(LEFT($C$3:$C$2600,3),Table!$D$2:$E$88,2,FALSE)</f>
        <v>0</v>
      </c>
      <c r="C178" s="455" t="str">
        <f t="shared" si="5"/>
        <v>9152060121</v>
      </c>
      <c r="D178" s="455" t="e">
        <f>VLOOKUP(G178,Table!$G$3:$H$21,2,FALSE)</f>
        <v>#N/A</v>
      </c>
      <c r="E178" s="452" t="s">
        <v>902</v>
      </c>
      <c r="F178" s="452" t="s">
        <v>1045</v>
      </c>
      <c r="G178" s="452" t="s">
        <v>1101</v>
      </c>
      <c r="H178" s="452" t="s">
        <v>1102</v>
      </c>
      <c r="I178" s="453" t="s">
        <v>844</v>
      </c>
      <c r="J178" s="453">
        <v>498.6</v>
      </c>
      <c r="K178" s="461">
        <v>0</v>
      </c>
      <c r="L178" s="461">
        <v>0</v>
      </c>
      <c r="M178" s="461">
        <v>498.6</v>
      </c>
      <c r="N178" s="461">
        <v>0</v>
      </c>
      <c r="O178" s="461">
        <v>0</v>
      </c>
      <c r="P178" s="461">
        <v>0</v>
      </c>
      <c r="Q178" s="461">
        <v>0</v>
      </c>
      <c r="R178" s="461">
        <v>0</v>
      </c>
      <c r="S178" s="461">
        <v>0</v>
      </c>
      <c r="T178" s="461">
        <v>0</v>
      </c>
      <c r="U178" s="461">
        <v>0</v>
      </c>
      <c r="V178" s="461">
        <v>0</v>
      </c>
    </row>
    <row r="179" spans="1:22" s="455" customFormat="1" hidden="1">
      <c r="A179" s="455" t="str">
        <f t="shared" si="4"/>
        <v>11119152060211</v>
      </c>
      <c r="B179" s="455">
        <f>VLOOKUP(LEFT($C$3:$C$2600,3),Table!$D$2:$E$88,2,FALSE)</f>
        <v>0</v>
      </c>
      <c r="C179" s="455" t="str">
        <f t="shared" si="5"/>
        <v>9152060211</v>
      </c>
      <c r="D179" s="455" t="e">
        <f>VLOOKUP(G179,Table!$G$3:$H$21,2,FALSE)</f>
        <v>#N/A</v>
      </c>
      <c r="E179" s="452" t="s">
        <v>902</v>
      </c>
      <c r="F179" s="452" t="s">
        <v>1045</v>
      </c>
      <c r="G179" s="452" t="s">
        <v>1103</v>
      </c>
      <c r="H179" s="452" t="s">
        <v>1104</v>
      </c>
      <c r="I179" s="453" t="s">
        <v>844</v>
      </c>
      <c r="J179" s="453">
        <v>1040</v>
      </c>
      <c r="K179" s="461">
        <v>0</v>
      </c>
      <c r="L179" s="461">
        <v>0</v>
      </c>
      <c r="M179" s="461">
        <v>1040</v>
      </c>
      <c r="N179" s="461">
        <v>0</v>
      </c>
      <c r="O179" s="461">
        <v>0</v>
      </c>
      <c r="P179" s="461">
        <v>0</v>
      </c>
      <c r="Q179" s="461">
        <v>0</v>
      </c>
      <c r="R179" s="461">
        <v>0</v>
      </c>
      <c r="S179" s="461">
        <v>0</v>
      </c>
      <c r="T179" s="461">
        <v>0</v>
      </c>
      <c r="U179" s="461">
        <v>0</v>
      </c>
      <c r="V179" s="461">
        <v>0</v>
      </c>
    </row>
    <row r="180" spans="1:22" s="455" customFormat="1" hidden="1">
      <c r="A180" s="455" t="str">
        <f t="shared" si="4"/>
        <v>11119152060311</v>
      </c>
      <c r="B180" s="455">
        <f>VLOOKUP(LEFT($C$3:$C$2600,3),Table!$D$2:$E$88,2,FALSE)</f>
        <v>0</v>
      </c>
      <c r="C180" s="455" t="str">
        <f t="shared" si="5"/>
        <v>9152060311</v>
      </c>
      <c r="D180" s="455" t="e">
        <f>VLOOKUP(G180,Table!$G$3:$H$21,2,FALSE)</f>
        <v>#N/A</v>
      </c>
      <c r="E180" s="452" t="s">
        <v>902</v>
      </c>
      <c r="F180" s="452" t="s">
        <v>1045</v>
      </c>
      <c r="G180" s="452" t="s">
        <v>1105</v>
      </c>
      <c r="H180" s="452" t="s">
        <v>1106</v>
      </c>
      <c r="I180" s="453" t="s">
        <v>844</v>
      </c>
      <c r="J180" s="453">
        <v>11888.27</v>
      </c>
      <c r="K180" s="461">
        <v>6758.03</v>
      </c>
      <c r="L180" s="461">
        <v>4791.24</v>
      </c>
      <c r="M180" s="461">
        <v>339</v>
      </c>
      <c r="N180" s="461">
        <v>0</v>
      </c>
      <c r="O180" s="461">
        <v>0</v>
      </c>
      <c r="P180" s="461">
        <v>0</v>
      </c>
      <c r="Q180" s="461">
        <v>0</v>
      </c>
      <c r="R180" s="461">
        <v>0</v>
      </c>
      <c r="S180" s="461">
        <v>0</v>
      </c>
      <c r="T180" s="461">
        <v>0</v>
      </c>
      <c r="U180" s="461">
        <v>0</v>
      </c>
      <c r="V180" s="461">
        <v>0</v>
      </c>
    </row>
    <row r="181" spans="1:22" s="455" customFormat="1" hidden="1">
      <c r="A181" s="455" t="str">
        <f t="shared" si="4"/>
        <v>11119152060321</v>
      </c>
      <c r="B181" s="455">
        <f>VLOOKUP(LEFT($C$3:$C$2600,3),Table!$D$2:$E$88,2,FALSE)</f>
        <v>0</v>
      </c>
      <c r="C181" s="455" t="str">
        <f t="shared" si="5"/>
        <v>9152060321</v>
      </c>
      <c r="D181" s="455" t="e">
        <f>VLOOKUP(G181,Table!$G$3:$H$21,2,FALSE)</f>
        <v>#N/A</v>
      </c>
      <c r="E181" s="452" t="s">
        <v>902</v>
      </c>
      <c r="F181" s="452" t="s">
        <v>1045</v>
      </c>
      <c r="G181" s="452" t="s">
        <v>1107</v>
      </c>
      <c r="H181" s="452" t="s">
        <v>1108</v>
      </c>
      <c r="I181" s="453" t="s">
        <v>844</v>
      </c>
      <c r="J181" s="453">
        <v>1728.85</v>
      </c>
      <c r="K181" s="461">
        <v>503.25</v>
      </c>
      <c r="L181" s="461">
        <v>0</v>
      </c>
      <c r="M181" s="461">
        <v>1225.5999999999999</v>
      </c>
      <c r="N181" s="461">
        <v>0</v>
      </c>
      <c r="O181" s="461">
        <v>0</v>
      </c>
      <c r="P181" s="461">
        <v>0</v>
      </c>
      <c r="Q181" s="461">
        <v>0</v>
      </c>
      <c r="R181" s="461">
        <v>0</v>
      </c>
      <c r="S181" s="461">
        <v>0</v>
      </c>
      <c r="T181" s="461">
        <v>0</v>
      </c>
      <c r="U181" s="461">
        <v>0</v>
      </c>
      <c r="V181" s="461">
        <v>0</v>
      </c>
    </row>
    <row r="182" spans="1:22" s="455" customFormat="1" hidden="1">
      <c r="A182" s="455" t="str">
        <f t="shared" si="4"/>
        <v>11119152060411</v>
      </c>
      <c r="B182" s="455">
        <f>VLOOKUP(LEFT($C$3:$C$2600,3),Table!$D$2:$E$88,2,FALSE)</f>
        <v>0</v>
      </c>
      <c r="C182" s="455" t="str">
        <f t="shared" si="5"/>
        <v>9152060411</v>
      </c>
      <c r="D182" s="455" t="e">
        <f>VLOOKUP(G182,Table!$G$3:$H$21,2,FALSE)</f>
        <v>#N/A</v>
      </c>
      <c r="E182" s="452" t="s">
        <v>902</v>
      </c>
      <c r="F182" s="452" t="s">
        <v>1045</v>
      </c>
      <c r="G182" s="452" t="s">
        <v>1109</v>
      </c>
      <c r="H182" s="452" t="s">
        <v>1110</v>
      </c>
      <c r="I182" s="453" t="s">
        <v>844</v>
      </c>
      <c r="J182" s="453">
        <v>11381.1</v>
      </c>
      <c r="K182" s="461">
        <v>3860</v>
      </c>
      <c r="L182" s="461">
        <v>3048.1</v>
      </c>
      <c r="M182" s="461">
        <v>4473</v>
      </c>
      <c r="N182" s="461">
        <v>0</v>
      </c>
      <c r="O182" s="461">
        <v>0</v>
      </c>
      <c r="P182" s="461">
        <v>0</v>
      </c>
      <c r="Q182" s="461">
        <v>0</v>
      </c>
      <c r="R182" s="461">
        <v>0</v>
      </c>
      <c r="S182" s="461">
        <v>0</v>
      </c>
      <c r="T182" s="461">
        <v>0</v>
      </c>
      <c r="U182" s="461">
        <v>0</v>
      </c>
      <c r="V182" s="461">
        <v>0</v>
      </c>
    </row>
    <row r="183" spans="1:22" s="455" customFormat="1" hidden="1">
      <c r="A183" s="455" t="str">
        <f t="shared" si="4"/>
        <v>11119152060421</v>
      </c>
      <c r="B183" s="455">
        <f>VLOOKUP(LEFT($C$3:$C$2600,3),Table!$D$2:$E$88,2,FALSE)</f>
        <v>0</v>
      </c>
      <c r="C183" s="455" t="str">
        <f t="shared" si="5"/>
        <v>9152060421</v>
      </c>
      <c r="D183" s="455" t="e">
        <f>VLOOKUP(G183,Table!$G$3:$H$21,2,FALSE)</f>
        <v>#N/A</v>
      </c>
      <c r="E183" s="452" t="s">
        <v>902</v>
      </c>
      <c r="F183" s="452" t="s">
        <v>1045</v>
      </c>
      <c r="G183" s="452" t="s">
        <v>1111</v>
      </c>
      <c r="H183" s="452" t="s">
        <v>1112</v>
      </c>
      <c r="I183" s="453" t="s">
        <v>844</v>
      </c>
      <c r="J183" s="453">
        <v>1230</v>
      </c>
      <c r="K183" s="461">
        <v>0</v>
      </c>
      <c r="L183" s="461">
        <v>1230</v>
      </c>
      <c r="M183" s="461">
        <v>0</v>
      </c>
      <c r="N183" s="461">
        <v>0</v>
      </c>
      <c r="O183" s="461">
        <v>0</v>
      </c>
      <c r="P183" s="461">
        <v>0</v>
      </c>
      <c r="Q183" s="461">
        <v>0</v>
      </c>
      <c r="R183" s="461">
        <v>0</v>
      </c>
      <c r="S183" s="461">
        <v>0</v>
      </c>
      <c r="T183" s="461">
        <v>0</v>
      </c>
      <c r="U183" s="461">
        <v>0</v>
      </c>
      <c r="V183" s="461">
        <v>0</v>
      </c>
    </row>
    <row r="184" spans="1:22" s="455" customFormat="1" hidden="1">
      <c r="A184" s="455" t="str">
        <f t="shared" si="4"/>
        <v>11119152060511</v>
      </c>
      <c r="B184" s="455">
        <f>VLOOKUP(LEFT($C$3:$C$2600,3),Table!$D$2:$E$88,2,FALSE)</f>
        <v>0</v>
      </c>
      <c r="C184" s="455" t="str">
        <f t="shared" si="5"/>
        <v>9152060511</v>
      </c>
      <c r="D184" s="455" t="e">
        <f>VLOOKUP(G184,Table!$G$3:$H$21,2,FALSE)</f>
        <v>#N/A</v>
      </c>
      <c r="E184" s="452" t="s">
        <v>902</v>
      </c>
      <c r="F184" s="452" t="s">
        <v>1045</v>
      </c>
      <c r="G184" s="452" t="s">
        <v>1119</v>
      </c>
      <c r="H184" s="452" t="s">
        <v>1120</v>
      </c>
      <c r="I184" s="453" t="s">
        <v>844</v>
      </c>
      <c r="J184" s="453">
        <v>6240</v>
      </c>
      <c r="K184" s="461">
        <v>0</v>
      </c>
      <c r="L184" s="461">
        <v>0</v>
      </c>
      <c r="M184" s="461">
        <v>6240</v>
      </c>
      <c r="N184" s="461">
        <v>0</v>
      </c>
      <c r="O184" s="461">
        <v>0</v>
      </c>
      <c r="P184" s="461">
        <v>0</v>
      </c>
      <c r="Q184" s="461">
        <v>0</v>
      </c>
      <c r="R184" s="461">
        <v>0</v>
      </c>
      <c r="S184" s="461">
        <v>0</v>
      </c>
      <c r="T184" s="461">
        <v>0</v>
      </c>
      <c r="U184" s="461">
        <v>0</v>
      </c>
      <c r="V184" s="461">
        <v>0</v>
      </c>
    </row>
    <row r="185" spans="1:22" s="455" customFormat="1" hidden="1">
      <c r="A185" s="455" t="str">
        <f t="shared" si="4"/>
        <v>11119152402520</v>
      </c>
      <c r="B185" s="455">
        <f>VLOOKUP(LEFT($C$3:$C$2600,3),Table!$D$2:$E$88,2,FALSE)</f>
        <v>0</v>
      </c>
      <c r="C185" s="455" t="str">
        <f t="shared" si="5"/>
        <v>9152402520</v>
      </c>
      <c r="D185" s="455" t="e">
        <f>VLOOKUP(G185,Table!$G$3:$H$21,2,FALSE)</f>
        <v>#N/A</v>
      </c>
      <c r="E185" s="452" t="s">
        <v>902</v>
      </c>
      <c r="F185" s="452" t="s">
        <v>1045</v>
      </c>
      <c r="G185" s="452" t="s">
        <v>1115</v>
      </c>
      <c r="H185" s="452" t="s">
        <v>1116</v>
      </c>
      <c r="I185" s="453" t="s">
        <v>844</v>
      </c>
      <c r="J185" s="453">
        <v>7000</v>
      </c>
      <c r="K185" s="461">
        <v>2300</v>
      </c>
      <c r="L185" s="461">
        <v>2300</v>
      </c>
      <c r="M185" s="461">
        <v>0</v>
      </c>
      <c r="N185" s="461">
        <v>0</v>
      </c>
      <c r="O185" s="461">
        <v>0</v>
      </c>
      <c r="P185" s="461">
        <v>0</v>
      </c>
      <c r="Q185" s="461">
        <v>0</v>
      </c>
      <c r="R185" s="461">
        <v>0</v>
      </c>
      <c r="S185" s="461">
        <v>0</v>
      </c>
      <c r="T185" s="461">
        <v>0</v>
      </c>
      <c r="U185" s="461">
        <v>0</v>
      </c>
      <c r="V185" s="461">
        <v>0</v>
      </c>
    </row>
    <row r="186" spans="1:22" s="455" customFormat="1" hidden="1">
      <c r="A186" s="455" t="str">
        <f t="shared" si="4"/>
        <v>11119153001000</v>
      </c>
      <c r="B186" s="455">
        <f>VLOOKUP(LEFT($C$3:$C$2600,3),Table!$D$2:$E$88,2,FALSE)</f>
        <v>0</v>
      </c>
      <c r="C186" s="455" t="str">
        <f t="shared" si="5"/>
        <v>9153001000</v>
      </c>
      <c r="D186" s="455" t="e">
        <f>VLOOKUP(G186,Table!$G$3:$H$21,2,FALSE)</f>
        <v>#N/A</v>
      </c>
      <c r="E186" s="452" t="s">
        <v>902</v>
      </c>
      <c r="F186" s="452" t="s">
        <v>1045</v>
      </c>
      <c r="G186" s="452" t="s">
        <v>1043</v>
      </c>
      <c r="H186" s="452" t="s">
        <v>1044</v>
      </c>
      <c r="I186" s="453" t="s">
        <v>844</v>
      </c>
      <c r="J186" s="453">
        <v>20967</v>
      </c>
      <c r="K186" s="461">
        <v>6989</v>
      </c>
      <c r="L186" s="461">
        <v>6989</v>
      </c>
      <c r="M186" s="461">
        <v>6989</v>
      </c>
      <c r="N186" s="461">
        <v>0</v>
      </c>
      <c r="O186" s="461">
        <v>0</v>
      </c>
      <c r="P186" s="461">
        <v>0</v>
      </c>
      <c r="Q186" s="461">
        <v>0</v>
      </c>
      <c r="R186" s="461">
        <v>0</v>
      </c>
      <c r="S186" s="461">
        <v>0</v>
      </c>
      <c r="T186" s="461">
        <v>0</v>
      </c>
      <c r="U186" s="461">
        <v>0</v>
      </c>
      <c r="V186" s="461">
        <v>0</v>
      </c>
    </row>
    <row r="187" spans="1:22" s="455" customFormat="1" hidden="1">
      <c r="A187" s="455" t="str">
        <f t="shared" si="4"/>
        <v>11129101001000</v>
      </c>
      <c r="B187" s="455">
        <f>VLOOKUP(LEFT($C$3:$C$2600,3),Table!$D$2:$E$88,2,FALSE)</f>
        <v>0</v>
      </c>
      <c r="C187" s="455" t="str">
        <f t="shared" si="5"/>
        <v>9101001000</v>
      </c>
      <c r="D187" s="455" t="e">
        <f>VLOOKUP(G187,Table!$G$3:$H$21,2,FALSE)</f>
        <v>#N/A</v>
      </c>
      <c r="E187" s="452" t="s">
        <v>902</v>
      </c>
      <c r="F187" s="452" t="s">
        <v>1117</v>
      </c>
      <c r="G187" s="452" t="s">
        <v>1046</v>
      </c>
      <c r="H187" s="452" t="s">
        <v>1047</v>
      </c>
      <c r="I187" s="453" t="s">
        <v>844</v>
      </c>
      <c r="J187" s="453">
        <v>18693</v>
      </c>
      <c r="K187" s="461">
        <v>4533</v>
      </c>
      <c r="L187" s="461">
        <v>7080</v>
      </c>
      <c r="M187" s="461">
        <v>7080</v>
      </c>
      <c r="N187" s="461">
        <v>0</v>
      </c>
      <c r="O187" s="461">
        <v>0</v>
      </c>
      <c r="P187" s="461">
        <v>0</v>
      </c>
      <c r="Q187" s="461">
        <v>0</v>
      </c>
      <c r="R187" s="461">
        <v>0</v>
      </c>
      <c r="S187" s="461">
        <v>0</v>
      </c>
      <c r="T187" s="461">
        <v>0</v>
      </c>
      <c r="U187" s="461">
        <v>0</v>
      </c>
      <c r="V187" s="461">
        <v>0</v>
      </c>
    </row>
    <row r="188" spans="1:22" s="455" customFormat="1" hidden="1">
      <c r="A188" s="455" t="str">
        <f t="shared" si="4"/>
        <v>11129101001100</v>
      </c>
      <c r="B188" s="455">
        <f>VLOOKUP(LEFT($C$3:$C$2600,3),Table!$D$2:$E$88,2,FALSE)</f>
        <v>0</v>
      </c>
      <c r="C188" s="455" t="str">
        <f t="shared" si="5"/>
        <v>9101001100</v>
      </c>
      <c r="D188" s="455" t="e">
        <f>VLOOKUP(G188,Table!$G$3:$H$21,2,FALSE)</f>
        <v>#N/A</v>
      </c>
      <c r="E188" s="452" t="s">
        <v>902</v>
      </c>
      <c r="F188" s="452" t="s">
        <v>1117</v>
      </c>
      <c r="G188" s="452" t="s">
        <v>1048</v>
      </c>
      <c r="H188" s="452" t="s">
        <v>1049</v>
      </c>
      <c r="I188" s="453" t="s">
        <v>844</v>
      </c>
      <c r="J188" s="453">
        <v>8213.2199999999993</v>
      </c>
      <c r="K188" s="461">
        <v>1939.46</v>
      </c>
      <c r="L188" s="461">
        <v>3969.65</v>
      </c>
      <c r="M188" s="461">
        <v>2766.01</v>
      </c>
      <c r="N188" s="461">
        <v>0</v>
      </c>
      <c r="O188" s="461">
        <v>0</v>
      </c>
      <c r="P188" s="461">
        <v>0</v>
      </c>
      <c r="Q188" s="461">
        <v>0</v>
      </c>
      <c r="R188" s="461">
        <v>0</v>
      </c>
      <c r="S188" s="461">
        <v>0</v>
      </c>
      <c r="T188" s="461">
        <v>0</v>
      </c>
      <c r="U188" s="461">
        <v>0</v>
      </c>
      <c r="V188" s="461">
        <v>0</v>
      </c>
    </row>
    <row r="189" spans="1:22" s="455" customFormat="1" hidden="1">
      <c r="A189" s="455" t="str">
        <f t="shared" si="4"/>
        <v>11129101001200</v>
      </c>
      <c r="B189" s="455">
        <f>VLOOKUP(LEFT($C$3:$C$2600,3),Table!$D$2:$E$88,2,FALSE)</f>
        <v>0</v>
      </c>
      <c r="C189" s="455" t="str">
        <f t="shared" si="5"/>
        <v>9101001200</v>
      </c>
      <c r="D189" s="455" t="e">
        <f>VLOOKUP(G189,Table!$G$3:$H$21,2,FALSE)</f>
        <v>#N/A</v>
      </c>
      <c r="E189" s="452" t="s">
        <v>902</v>
      </c>
      <c r="F189" s="452" t="s">
        <v>1117</v>
      </c>
      <c r="G189" s="452" t="s">
        <v>1050</v>
      </c>
      <c r="H189" s="452" t="s">
        <v>1051</v>
      </c>
      <c r="I189" s="453" t="s">
        <v>844</v>
      </c>
      <c r="J189" s="453">
        <v>2856.33</v>
      </c>
      <c r="K189" s="461">
        <v>709.29</v>
      </c>
      <c r="L189" s="461">
        <v>1078</v>
      </c>
      <c r="M189" s="461">
        <v>1069.04</v>
      </c>
      <c r="N189" s="461">
        <v>0</v>
      </c>
      <c r="O189" s="461">
        <v>0</v>
      </c>
      <c r="P189" s="461">
        <v>0</v>
      </c>
      <c r="Q189" s="461">
        <v>0</v>
      </c>
      <c r="R189" s="461">
        <v>0</v>
      </c>
      <c r="S189" s="461">
        <v>0</v>
      </c>
      <c r="T189" s="461">
        <v>0</v>
      </c>
      <c r="U189" s="461">
        <v>0</v>
      </c>
      <c r="V189" s="461">
        <v>0</v>
      </c>
    </row>
    <row r="190" spans="1:22" s="455" customFormat="1" hidden="1">
      <c r="A190" s="455" t="str">
        <f t="shared" si="4"/>
        <v>11129101001300</v>
      </c>
      <c r="B190" s="455">
        <f>VLOOKUP(LEFT($C$3:$C$2600,3),Table!$D$2:$E$88,2,FALSE)</f>
        <v>0</v>
      </c>
      <c r="C190" s="455" t="str">
        <f t="shared" si="5"/>
        <v>9101001300</v>
      </c>
      <c r="D190" s="455" t="e">
        <f>VLOOKUP(G190,Table!$G$3:$H$21,2,FALSE)</f>
        <v>#N/A</v>
      </c>
      <c r="E190" s="452" t="s">
        <v>902</v>
      </c>
      <c r="F190" s="452" t="s">
        <v>1117</v>
      </c>
      <c r="G190" s="452" t="s">
        <v>1052</v>
      </c>
      <c r="H190" s="452" t="s">
        <v>1053</v>
      </c>
      <c r="I190" s="453" t="s">
        <v>844</v>
      </c>
      <c r="J190" s="453">
        <v>203</v>
      </c>
      <c r="K190" s="461">
        <v>54</v>
      </c>
      <c r="L190" s="461">
        <v>74</v>
      </c>
      <c r="M190" s="461">
        <v>75</v>
      </c>
      <c r="N190" s="461">
        <v>0</v>
      </c>
      <c r="O190" s="461">
        <v>0</v>
      </c>
      <c r="P190" s="461">
        <v>0</v>
      </c>
      <c r="Q190" s="461">
        <v>0</v>
      </c>
      <c r="R190" s="461">
        <v>0</v>
      </c>
      <c r="S190" s="461">
        <v>0</v>
      </c>
      <c r="T190" s="461">
        <v>0</v>
      </c>
      <c r="U190" s="461">
        <v>0</v>
      </c>
      <c r="V190" s="461">
        <v>0</v>
      </c>
    </row>
    <row r="191" spans="1:22" s="455" customFormat="1" hidden="1">
      <c r="A191" s="455" t="str">
        <f t="shared" si="4"/>
        <v>11129101001400</v>
      </c>
      <c r="B191" s="455">
        <f>VLOOKUP(LEFT($C$3:$C$2600,3),Table!$D$2:$E$88,2,FALSE)</f>
        <v>0</v>
      </c>
      <c r="C191" s="455" t="str">
        <f t="shared" si="5"/>
        <v>9101001400</v>
      </c>
      <c r="D191" s="455" t="e">
        <f>VLOOKUP(G191,Table!$G$3:$H$21,2,FALSE)</f>
        <v>#N/A</v>
      </c>
      <c r="E191" s="452" t="s">
        <v>902</v>
      </c>
      <c r="F191" s="452" t="s">
        <v>1117</v>
      </c>
      <c r="G191" s="452" t="s">
        <v>1054</v>
      </c>
      <c r="H191" s="452" t="s">
        <v>1055</v>
      </c>
      <c r="I191" s="453" t="s">
        <v>844</v>
      </c>
      <c r="J191" s="453">
        <v>3307</v>
      </c>
      <c r="K191" s="461">
        <v>809</v>
      </c>
      <c r="L191" s="461">
        <v>1247</v>
      </c>
      <c r="M191" s="461">
        <v>1251</v>
      </c>
      <c r="N191" s="461">
        <v>0</v>
      </c>
      <c r="O191" s="461">
        <v>0</v>
      </c>
      <c r="P191" s="461">
        <v>0</v>
      </c>
      <c r="Q191" s="461">
        <v>0</v>
      </c>
      <c r="R191" s="461">
        <v>0</v>
      </c>
      <c r="S191" s="461">
        <v>0</v>
      </c>
      <c r="T191" s="461">
        <v>0</v>
      </c>
      <c r="U191" s="461">
        <v>0</v>
      </c>
      <c r="V191" s="461">
        <v>0</v>
      </c>
    </row>
    <row r="192" spans="1:22" s="455" customFormat="1" hidden="1">
      <c r="A192" s="455" t="str">
        <f t="shared" si="4"/>
        <v>11129101001410</v>
      </c>
      <c r="B192" s="455">
        <f>VLOOKUP(LEFT($C$3:$C$2600,3),Table!$D$2:$E$88,2,FALSE)</f>
        <v>0</v>
      </c>
      <c r="C192" s="455" t="str">
        <f t="shared" si="5"/>
        <v>9101001410</v>
      </c>
      <c r="D192" s="455" t="e">
        <f>VLOOKUP(G192,Table!$G$3:$H$21,2,FALSE)</f>
        <v>#N/A</v>
      </c>
      <c r="E192" s="452" t="s">
        <v>902</v>
      </c>
      <c r="F192" s="452" t="s">
        <v>1117</v>
      </c>
      <c r="G192" s="452" t="s">
        <v>1056</v>
      </c>
      <c r="H192" s="452" t="s">
        <v>1057</v>
      </c>
      <c r="I192" s="453" t="s">
        <v>844</v>
      </c>
      <c r="J192" s="453">
        <v>75</v>
      </c>
      <c r="K192" s="461">
        <v>15</v>
      </c>
      <c r="L192" s="461">
        <v>30</v>
      </c>
      <c r="M192" s="461">
        <v>30</v>
      </c>
      <c r="N192" s="461">
        <v>0</v>
      </c>
      <c r="O192" s="461">
        <v>0</v>
      </c>
      <c r="P192" s="461">
        <v>0</v>
      </c>
      <c r="Q192" s="461">
        <v>0</v>
      </c>
      <c r="R192" s="461">
        <v>0</v>
      </c>
      <c r="S192" s="461">
        <v>0</v>
      </c>
      <c r="T192" s="461">
        <v>0</v>
      </c>
      <c r="U192" s="461">
        <v>0</v>
      </c>
      <c r="V192" s="461">
        <v>0</v>
      </c>
    </row>
    <row r="193" spans="1:22" s="455" customFormat="1" hidden="1">
      <c r="A193" s="455" t="str">
        <f t="shared" si="4"/>
        <v>11129101001500</v>
      </c>
      <c r="B193" s="455">
        <f>VLOOKUP(LEFT($C$3:$C$2600,3),Table!$D$2:$E$88,2,FALSE)</f>
        <v>0</v>
      </c>
      <c r="C193" s="455" t="str">
        <f t="shared" si="5"/>
        <v>9101001500</v>
      </c>
      <c r="D193" s="455" t="e">
        <f>VLOOKUP(G193,Table!$G$3:$H$21,2,FALSE)</f>
        <v>#N/A</v>
      </c>
      <c r="E193" s="452" t="s">
        <v>902</v>
      </c>
      <c r="F193" s="452" t="s">
        <v>1117</v>
      </c>
      <c r="G193" s="452" t="s">
        <v>1058</v>
      </c>
      <c r="H193" s="452" t="s">
        <v>1059</v>
      </c>
      <c r="I193" s="453" t="s">
        <v>844</v>
      </c>
      <c r="J193" s="453">
        <v>413.2</v>
      </c>
      <c r="K193" s="461">
        <v>103.3</v>
      </c>
      <c r="L193" s="461">
        <v>154.94999999999999</v>
      </c>
      <c r="M193" s="461">
        <v>154.94999999999999</v>
      </c>
      <c r="N193" s="461">
        <v>0</v>
      </c>
      <c r="O193" s="461">
        <v>0</v>
      </c>
      <c r="P193" s="461">
        <v>0</v>
      </c>
      <c r="Q193" s="461">
        <v>0</v>
      </c>
      <c r="R193" s="461">
        <v>0</v>
      </c>
      <c r="S193" s="461">
        <v>0</v>
      </c>
      <c r="T193" s="461">
        <v>0</v>
      </c>
      <c r="U193" s="461">
        <v>0</v>
      </c>
      <c r="V193" s="461">
        <v>0</v>
      </c>
    </row>
    <row r="194" spans="1:22" s="455" customFormat="1" hidden="1">
      <c r="A194" s="455" t="str">
        <f t="shared" si="4"/>
        <v>11129101001600</v>
      </c>
      <c r="B194" s="455">
        <f>VLOOKUP(LEFT($C$3:$C$2600,3),Table!$D$2:$E$88,2,FALSE)</f>
        <v>0</v>
      </c>
      <c r="C194" s="455" t="str">
        <f t="shared" si="5"/>
        <v>9101001600</v>
      </c>
      <c r="D194" s="455" t="e">
        <f>VLOOKUP(G194,Table!$G$3:$H$21,2,FALSE)</f>
        <v>#N/A</v>
      </c>
      <c r="E194" s="452" t="s">
        <v>902</v>
      </c>
      <c r="F194" s="452" t="s">
        <v>1117</v>
      </c>
      <c r="G194" s="452" t="s">
        <v>1060</v>
      </c>
      <c r="H194" s="452" t="s">
        <v>1061</v>
      </c>
      <c r="I194" s="453" t="s">
        <v>844</v>
      </c>
      <c r="J194" s="453">
        <v>4265.04</v>
      </c>
      <c r="K194" s="461">
        <v>1034.26</v>
      </c>
      <c r="L194" s="461">
        <v>1615.39</v>
      </c>
      <c r="M194" s="461">
        <v>1615.39</v>
      </c>
      <c r="N194" s="461">
        <v>0</v>
      </c>
      <c r="O194" s="461">
        <v>0</v>
      </c>
      <c r="P194" s="461">
        <v>0</v>
      </c>
      <c r="Q194" s="461">
        <v>0</v>
      </c>
      <c r="R194" s="461">
        <v>0</v>
      </c>
      <c r="S194" s="461">
        <v>0</v>
      </c>
      <c r="T194" s="461">
        <v>0</v>
      </c>
      <c r="U194" s="461">
        <v>0</v>
      </c>
      <c r="V194" s="461">
        <v>0</v>
      </c>
    </row>
    <row r="195" spans="1:22" s="455" customFormat="1" hidden="1">
      <c r="A195" s="455" t="str">
        <f t="shared" si="4"/>
        <v>11129101001700</v>
      </c>
      <c r="B195" s="455">
        <f>VLOOKUP(LEFT($C$3:$C$2600,3),Table!$D$2:$E$88,2,FALSE)</f>
        <v>0</v>
      </c>
      <c r="C195" s="455" t="str">
        <f t="shared" si="5"/>
        <v>9101001700</v>
      </c>
      <c r="D195" s="455" t="e">
        <f>VLOOKUP(G195,Table!$G$3:$H$21,2,FALSE)</f>
        <v>#N/A</v>
      </c>
      <c r="E195" s="452" t="s">
        <v>902</v>
      </c>
      <c r="F195" s="452" t="s">
        <v>1117</v>
      </c>
      <c r="G195" s="452" t="s">
        <v>1062</v>
      </c>
      <c r="H195" s="452" t="s">
        <v>1063</v>
      </c>
      <c r="I195" s="453" t="s">
        <v>844</v>
      </c>
      <c r="J195" s="453">
        <v>-7022.04</v>
      </c>
      <c r="K195" s="461">
        <v>109.01</v>
      </c>
      <c r="L195" s="461">
        <v>3378.89</v>
      </c>
      <c r="M195" s="461">
        <v>113.91</v>
      </c>
      <c r="N195" s="461">
        <v>0</v>
      </c>
      <c r="O195" s="461">
        <v>0</v>
      </c>
      <c r="P195" s="461">
        <v>0</v>
      </c>
      <c r="Q195" s="461">
        <v>0</v>
      </c>
      <c r="R195" s="461">
        <v>0</v>
      </c>
      <c r="S195" s="461">
        <v>0</v>
      </c>
      <c r="T195" s="461">
        <v>0</v>
      </c>
      <c r="U195" s="461">
        <v>0</v>
      </c>
      <c r="V195" s="461">
        <v>0</v>
      </c>
    </row>
    <row r="196" spans="1:22" s="455" customFormat="1" hidden="1">
      <c r="A196" s="455" t="str">
        <f t="shared" ref="A196:A259" si="6">F196&amp;G196</f>
        <v>11129101001800</v>
      </c>
      <c r="B196" s="455">
        <f>VLOOKUP(LEFT($C$3:$C$2600,3),Table!$D$2:$E$88,2,FALSE)</f>
        <v>0</v>
      </c>
      <c r="C196" s="455" t="str">
        <f t="shared" ref="C196:C259" si="7">IF(ISNA(D196),G196,D196)</f>
        <v>9101001800</v>
      </c>
      <c r="D196" s="455" t="e">
        <f>VLOOKUP(G196,Table!$G$3:$H$21,2,FALSE)</f>
        <v>#N/A</v>
      </c>
      <c r="E196" s="452" t="s">
        <v>902</v>
      </c>
      <c r="F196" s="452" t="s">
        <v>1117</v>
      </c>
      <c r="G196" s="452" t="s">
        <v>1064</v>
      </c>
      <c r="H196" s="452" t="s">
        <v>1065</v>
      </c>
      <c r="I196" s="453" t="s">
        <v>844</v>
      </c>
      <c r="J196" s="453">
        <v>1020.2</v>
      </c>
      <c r="K196" s="461">
        <v>305.7</v>
      </c>
      <c r="L196" s="461">
        <v>342.7</v>
      </c>
      <c r="M196" s="461">
        <v>371.8</v>
      </c>
      <c r="N196" s="461">
        <v>0</v>
      </c>
      <c r="O196" s="461">
        <v>0</v>
      </c>
      <c r="P196" s="461">
        <v>0</v>
      </c>
      <c r="Q196" s="461">
        <v>0</v>
      </c>
      <c r="R196" s="461">
        <v>0</v>
      </c>
      <c r="S196" s="461">
        <v>0</v>
      </c>
      <c r="T196" s="461">
        <v>0</v>
      </c>
      <c r="U196" s="461">
        <v>0</v>
      </c>
      <c r="V196" s="461">
        <v>0</v>
      </c>
    </row>
    <row r="197" spans="1:22" s="455" customFormat="1" hidden="1">
      <c r="A197" s="455" t="str">
        <f t="shared" si="6"/>
        <v>11129101001900</v>
      </c>
      <c r="B197" s="455">
        <f>VLOOKUP(LEFT($C$3:$C$2600,3),Table!$D$2:$E$88,2,FALSE)</f>
        <v>0</v>
      </c>
      <c r="C197" s="455" t="str">
        <f t="shared" si="7"/>
        <v>9101001900</v>
      </c>
      <c r="D197" s="455" t="e">
        <f>VLOOKUP(G197,Table!$G$3:$H$21,2,FALSE)</f>
        <v>#N/A</v>
      </c>
      <c r="E197" s="452" t="s">
        <v>902</v>
      </c>
      <c r="F197" s="452" t="s">
        <v>1117</v>
      </c>
      <c r="G197" s="452" t="s">
        <v>1066</v>
      </c>
      <c r="H197" s="452" t="s">
        <v>1007</v>
      </c>
      <c r="I197" s="453" t="s">
        <v>844</v>
      </c>
      <c r="J197" s="453">
        <v>217.59</v>
      </c>
      <c r="K197" s="461">
        <v>52.96</v>
      </c>
      <c r="L197" s="461">
        <v>82.31</v>
      </c>
      <c r="M197" s="461">
        <v>82.32</v>
      </c>
      <c r="N197" s="461">
        <v>0</v>
      </c>
      <c r="O197" s="461">
        <v>0</v>
      </c>
      <c r="P197" s="461">
        <v>0</v>
      </c>
      <c r="Q197" s="461">
        <v>0</v>
      </c>
      <c r="R197" s="461">
        <v>0</v>
      </c>
      <c r="S197" s="461">
        <v>0</v>
      </c>
      <c r="T197" s="461">
        <v>0</v>
      </c>
      <c r="U197" s="461">
        <v>0</v>
      </c>
      <c r="V197" s="461">
        <v>0</v>
      </c>
    </row>
    <row r="198" spans="1:22" s="455" customFormat="1" hidden="1">
      <c r="A198" s="455" t="str">
        <f t="shared" si="6"/>
        <v>11129101101000</v>
      </c>
      <c r="B198" s="455">
        <f>VLOOKUP(LEFT($C$3:$C$2600,3),Table!$D$2:$E$88,2,FALSE)</f>
        <v>0</v>
      </c>
      <c r="C198" s="455" t="str">
        <f t="shared" si="7"/>
        <v>9101101000</v>
      </c>
      <c r="D198" s="455" t="e">
        <f>VLOOKUP(G198,Table!$G$3:$H$21,2,FALSE)</f>
        <v>#N/A</v>
      </c>
      <c r="E198" s="452" t="s">
        <v>902</v>
      </c>
      <c r="F198" s="452" t="s">
        <v>1117</v>
      </c>
      <c r="G198" s="452" t="s">
        <v>1067</v>
      </c>
      <c r="H198" s="452" t="s">
        <v>1068</v>
      </c>
      <c r="I198" s="453" t="s">
        <v>844</v>
      </c>
      <c r="J198" s="453">
        <v>29349.41</v>
      </c>
      <c r="K198" s="461">
        <v>10454.549999999999</v>
      </c>
      <c r="L198" s="461">
        <v>10353.41</v>
      </c>
      <c r="M198" s="461">
        <v>10156.5</v>
      </c>
      <c r="N198" s="461">
        <v>0</v>
      </c>
      <c r="O198" s="461">
        <v>0</v>
      </c>
      <c r="P198" s="461">
        <v>0</v>
      </c>
      <c r="Q198" s="461">
        <v>0</v>
      </c>
      <c r="R198" s="461">
        <v>0</v>
      </c>
      <c r="S198" s="461">
        <v>0</v>
      </c>
      <c r="T198" s="461">
        <v>0</v>
      </c>
      <c r="U198" s="461">
        <v>0</v>
      </c>
      <c r="V198" s="461">
        <v>0</v>
      </c>
    </row>
    <row r="199" spans="1:22" s="455" customFormat="1" hidden="1">
      <c r="A199" s="455" t="str">
        <f t="shared" si="6"/>
        <v>11129101101100</v>
      </c>
      <c r="B199" s="455">
        <f>VLOOKUP(LEFT($C$3:$C$2600,3),Table!$D$2:$E$88,2,FALSE)</f>
        <v>0</v>
      </c>
      <c r="C199" s="455" t="str">
        <f t="shared" si="7"/>
        <v>9101101100</v>
      </c>
      <c r="D199" s="455" t="e">
        <f>VLOOKUP(G199,Table!$G$3:$H$21,2,FALSE)</f>
        <v>#N/A</v>
      </c>
      <c r="E199" s="452" t="s">
        <v>902</v>
      </c>
      <c r="F199" s="452" t="s">
        <v>1117</v>
      </c>
      <c r="G199" s="452" t="s">
        <v>1069</v>
      </c>
      <c r="H199" s="452" t="s">
        <v>1070</v>
      </c>
      <c r="I199" s="453" t="s">
        <v>844</v>
      </c>
      <c r="J199" s="453">
        <v>23702.21</v>
      </c>
      <c r="K199" s="461">
        <v>9648.81</v>
      </c>
      <c r="L199" s="461">
        <v>7486.36</v>
      </c>
      <c r="M199" s="461">
        <v>8057.15</v>
      </c>
      <c r="N199" s="461">
        <v>0</v>
      </c>
      <c r="O199" s="461">
        <v>0</v>
      </c>
      <c r="P199" s="461">
        <v>0</v>
      </c>
      <c r="Q199" s="461">
        <v>0</v>
      </c>
      <c r="R199" s="461">
        <v>0</v>
      </c>
      <c r="S199" s="461">
        <v>0</v>
      </c>
      <c r="T199" s="461">
        <v>0</v>
      </c>
      <c r="U199" s="461">
        <v>0</v>
      </c>
      <c r="V199" s="461">
        <v>0</v>
      </c>
    </row>
    <row r="200" spans="1:22" s="455" customFormat="1" hidden="1">
      <c r="A200" s="455" t="str">
        <f t="shared" si="6"/>
        <v>11129101101200</v>
      </c>
      <c r="B200" s="455">
        <f>VLOOKUP(LEFT($C$3:$C$2600,3),Table!$D$2:$E$88,2,FALSE)</f>
        <v>0</v>
      </c>
      <c r="C200" s="455" t="str">
        <f t="shared" si="7"/>
        <v>9101101200</v>
      </c>
      <c r="D200" s="455" t="e">
        <f>VLOOKUP(G200,Table!$G$3:$H$21,2,FALSE)</f>
        <v>#N/A</v>
      </c>
      <c r="E200" s="452" t="s">
        <v>902</v>
      </c>
      <c r="F200" s="452" t="s">
        <v>1117</v>
      </c>
      <c r="G200" s="452" t="s">
        <v>1071</v>
      </c>
      <c r="H200" s="452" t="s">
        <v>1072</v>
      </c>
      <c r="I200" s="453" t="s">
        <v>844</v>
      </c>
      <c r="J200" s="453">
        <v>5901.01</v>
      </c>
      <c r="K200" s="461">
        <v>1967.61</v>
      </c>
      <c r="L200" s="461">
        <v>1953.88</v>
      </c>
      <c r="M200" s="461">
        <v>1979.52</v>
      </c>
      <c r="N200" s="461">
        <v>0</v>
      </c>
      <c r="O200" s="461">
        <v>0</v>
      </c>
      <c r="P200" s="461">
        <v>0</v>
      </c>
      <c r="Q200" s="461">
        <v>0</v>
      </c>
      <c r="R200" s="461">
        <v>0</v>
      </c>
      <c r="S200" s="461">
        <v>0</v>
      </c>
      <c r="T200" s="461">
        <v>0</v>
      </c>
      <c r="U200" s="461">
        <v>0</v>
      </c>
      <c r="V200" s="461">
        <v>0</v>
      </c>
    </row>
    <row r="201" spans="1:22" s="455" customFormat="1" hidden="1">
      <c r="A201" s="455" t="str">
        <f t="shared" si="6"/>
        <v>11129101101300</v>
      </c>
      <c r="B201" s="455">
        <f>VLOOKUP(LEFT($C$3:$C$2600,3),Table!$D$2:$E$88,2,FALSE)</f>
        <v>0</v>
      </c>
      <c r="C201" s="455" t="str">
        <f t="shared" si="7"/>
        <v>9101101300</v>
      </c>
      <c r="D201" s="455" t="e">
        <f>VLOOKUP(G201,Table!$G$3:$H$21,2,FALSE)</f>
        <v>#N/A</v>
      </c>
      <c r="E201" s="452" t="s">
        <v>902</v>
      </c>
      <c r="F201" s="452" t="s">
        <v>1117</v>
      </c>
      <c r="G201" s="452" t="s">
        <v>1073</v>
      </c>
      <c r="H201" s="452" t="s">
        <v>1074</v>
      </c>
      <c r="I201" s="453" t="s">
        <v>844</v>
      </c>
      <c r="J201" s="453">
        <v>638</v>
      </c>
      <c r="K201" s="461">
        <v>227</v>
      </c>
      <c r="L201" s="461">
        <v>201</v>
      </c>
      <c r="M201" s="461">
        <v>210</v>
      </c>
      <c r="N201" s="461">
        <v>0</v>
      </c>
      <c r="O201" s="461">
        <v>0</v>
      </c>
      <c r="P201" s="461">
        <v>0</v>
      </c>
      <c r="Q201" s="461">
        <v>0</v>
      </c>
      <c r="R201" s="461">
        <v>0</v>
      </c>
      <c r="S201" s="461">
        <v>0</v>
      </c>
      <c r="T201" s="461">
        <v>0</v>
      </c>
      <c r="U201" s="461">
        <v>0</v>
      </c>
      <c r="V201" s="461">
        <v>0</v>
      </c>
    </row>
    <row r="202" spans="1:22" s="455" customFormat="1" hidden="1">
      <c r="A202" s="455" t="str">
        <f t="shared" si="6"/>
        <v>11129101101400</v>
      </c>
      <c r="B202" s="455">
        <f>VLOOKUP(LEFT($C$3:$C$2600,3),Table!$D$2:$E$88,2,FALSE)</f>
        <v>0</v>
      </c>
      <c r="C202" s="455" t="str">
        <f t="shared" si="7"/>
        <v>9101101400</v>
      </c>
      <c r="D202" s="455" t="e">
        <f>VLOOKUP(G202,Table!$G$3:$H$21,2,FALSE)</f>
        <v>#N/A</v>
      </c>
      <c r="E202" s="452" t="s">
        <v>902</v>
      </c>
      <c r="F202" s="452" t="s">
        <v>1117</v>
      </c>
      <c r="G202" s="452" t="s">
        <v>1075</v>
      </c>
      <c r="H202" s="452" t="s">
        <v>1076</v>
      </c>
      <c r="I202" s="453" t="s">
        <v>844</v>
      </c>
      <c r="J202" s="453">
        <v>5264</v>
      </c>
      <c r="K202" s="461">
        <v>1759</v>
      </c>
      <c r="L202" s="461">
        <v>1734</v>
      </c>
      <c r="M202" s="461">
        <v>1771</v>
      </c>
      <c r="N202" s="461">
        <v>0</v>
      </c>
      <c r="O202" s="461">
        <v>0</v>
      </c>
      <c r="P202" s="461">
        <v>0</v>
      </c>
      <c r="Q202" s="461">
        <v>0</v>
      </c>
      <c r="R202" s="461">
        <v>0</v>
      </c>
      <c r="S202" s="461">
        <v>0</v>
      </c>
      <c r="T202" s="461">
        <v>0</v>
      </c>
      <c r="U202" s="461">
        <v>0</v>
      </c>
      <c r="V202" s="461">
        <v>0</v>
      </c>
    </row>
    <row r="203" spans="1:22" s="455" customFormat="1" hidden="1">
      <c r="A203" s="455" t="str">
        <f t="shared" si="6"/>
        <v>11129101101410</v>
      </c>
      <c r="B203" s="455">
        <f>VLOOKUP(LEFT($C$3:$C$2600,3),Table!$D$2:$E$88,2,FALSE)</f>
        <v>0</v>
      </c>
      <c r="C203" s="455" t="str">
        <f t="shared" si="7"/>
        <v>9101101410</v>
      </c>
      <c r="D203" s="455" t="e">
        <f>VLOOKUP(G203,Table!$G$3:$H$21,2,FALSE)</f>
        <v>#N/A</v>
      </c>
      <c r="E203" s="452" t="s">
        <v>902</v>
      </c>
      <c r="F203" s="452" t="s">
        <v>1117</v>
      </c>
      <c r="G203" s="452" t="s">
        <v>1077</v>
      </c>
      <c r="H203" s="452" t="s">
        <v>1078</v>
      </c>
      <c r="I203" s="453" t="s">
        <v>844</v>
      </c>
      <c r="J203" s="453">
        <v>225</v>
      </c>
      <c r="K203" s="461">
        <v>75</v>
      </c>
      <c r="L203" s="461">
        <v>75</v>
      </c>
      <c r="M203" s="461">
        <v>75</v>
      </c>
      <c r="N203" s="461">
        <v>0</v>
      </c>
      <c r="O203" s="461">
        <v>0</v>
      </c>
      <c r="P203" s="461">
        <v>0</v>
      </c>
      <c r="Q203" s="461">
        <v>0</v>
      </c>
      <c r="R203" s="461">
        <v>0</v>
      </c>
      <c r="S203" s="461">
        <v>0</v>
      </c>
      <c r="T203" s="461">
        <v>0</v>
      </c>
      <c r="U203" s="461">
        <v>0</v>
      </c>
      <c r="V203" s="461">
        <v>0</v>
      </c>
    </row>
    <row r="204" spans="1:22" s="455" customFormat="1" hidden="1">
      <c r="A204" s="455" t="str">
        <f t="shared" si="6"/>
        <v>11129101101500</v>
      </c>
      <c r="B204" s="455">
        <f>VLOOKUP(LEFT($C$3:$C$2600,3),Table!$D$2:$E$88,2,FALSE)</f>
        <v>0</v>
      </c>
      <c r="C204" s="455" t="str">
        <f t="shared" si="7"/>
        <v>9101101500</v>
      </c>
      <c r="D204" s="455" t="e">
        <f>VLOOKUP(G204,Table!$G$3:$H$21,2,FALSE)</f>
        <v>#N/A</v>
      </c>
      <c r="E204" s="452" t="s">
        <v>902</v>
      </c>
      <c r="F204" s="452" t="s">
        <v>1117</v>
      </c>
      <c r="G204" s="452" t="s">
        <v>1079</v>
      </c>
      <c r="H204" s="452" t="s">
        <v>1080</v>
      </c>
      <c r="I204" s="453" t="s">
        <v>844</v>
      </c>
      <c r="J204" s="453">
        <v>946.15</v>
      </c>
      <c r="K204" s="461">
        <v>326.45</v>
      </c>
      <c r="L204" s="461">
        <v>305.45</v>
      </c>
      <c r="M204" s="461">
        <v>314.25</v>
      </c>
      <c r="N204" s="461">
        <v>0</v>
      </c>
      <c r="O204" s="461">
        <v>0</v>
      </c>
      <c r="P204" s="461">
        <v>0</v>
      </c>
      <c r="Q204" s="461">
        <v>0</v>
      </c>
      <c r="R204" s="461">
        <v>0</v>
      </c>
      <c r="S204" s="461">
        <v>0</v>
      </c>
      <c r="T204" s="461">
        <v>0</v>
      </c>
      <c r="U204" s="461">
        <v>0</v>
      </c>
      <c r="V204" s="461">
        <v>0</v>
      </c>
    </row>
    <row r="205" spans="1:22" s="455" customFormat="1" hidden="1">
      <c r="A205" s="455" t="str">
        <f t="shared" si="6"/>
        <v>11129101101600</v>
      </c>
      <c r="B205" s="455">
        <f>VLOOKUP(LEFT($C$3:$C$2600,3),Table!$D$2:$E$88,2,FALSE)</f>
        <v>0</v>
      </c>
      <c r="C205" s="455" t="str">
        <f t="shared" si="7"/>
        <v>9101101600</v>
      </c>
      <c r="D205" s="455" t="e">
        <f>VLOOKUP(G205,Table!$G$3:$H$21,2,FALSE)</f>
        <v>#N/A</v>
      </c>
      <c r="E205" s="452" t="s">
        <v>902</v>
      </c>
      <c r="F205" s="452" t="s">
        <v>1117</v>
      </c>
      <c r="G205" s="452" t="s">
        <v>1081</v>
      </c>
      <c r="H205" s="452" t="s">
        <v>1082</v>
      </c>
      <c r="I205" s="453" t="s">
        <v>844</v>
      </c>
      <c r="J205" s="453">
        <v>7455.9</v>
      </c>
      <c r="K205" s="461">
        <v>2485.3000000000002</v>
      </c>
      <c r="L205" s="461">
        <v>2485.3000000000002</v>
      </c>
      <c r="M205" s="461">
        <v>2485.3000000000002</v>
      </c>
      <c r="N205" s="461">
        <v>0</v>
      </c>
      <c r="O205" s="461">
        <v>0</v>
      </c>
      <c r="P205" s="461">
        <v>0</v>
      </c>
      <c r="Q205" s="461">
        <v>0</v>
      </c>
      <c r="R205" s="461">
        <v>0</v>
      </c>
      <c r="S205" s="461">
        <v>0</v>
      </c>
      <c r="T205" s="461">
        <v>0</v>
      </c>
      <c r="U205" s="461">
        <v>0</v>
      </c>
      <c r="V205" s="461">
        <v>0</v>
      </c>
    </row>
    <row r="206" spans="1:22" s="455" customFormat="1" hidden="1">
      <c r="A206" s="455" t="str">
        <f t="shared" si="6"/>
        <v>11129101101700</v>
      </c>
      <c r="B206" s="455">
        <f>VLOOKUP(LEFT($C$3:$C$2600,3),Table!$D$2:$E$88,2,FALSE)</f>
        <v>0</v>
      </c>
      <c r="C206" s="455" t="str">
        <f t="shared" si="7"/>
        <v>9101101700</v>
      </c>
      <c r="D206" s="455" t="e">
        <f>VLOOKUP(G206,Table!$G$3:$H$21,2,FALSE)</f>
        <v>#N/A</v>
      </c>
      <c r="E206" s="452" t="s">
        <v>902</v>
      </c>
      <c r="F206" s="452" t="s">
        <v>1117</v>
      </c>
      <c r="G206" s="452" t="s">
        <v>1083</v>
      </c>
      <c r="H206" s="452" t="s">
        <v>1084</v>
      </c>
      <c r="I206" s="453" t="s">
        <v>844</v>
      </c>
      <c r="J206" s="453">
        <v>-10499.53</v>
      </c>
      <c r="K206" s="461">
        <v>144.41</v>
      </c>
      <c r="L206" s="461">
        <v>338.58</v>
      </c>
      <c r="M206" s="461">
        <v>168.46</v>
      </c>
      <c r="N206" s="461">
        <v>0</v>
      </c>
      <c r="O206" s="461">
        <v>0</v>
      </c>
      <c r="P206" s="461">
        <v>0</v>
      </c>
      <c r="Q206" s="461">
        <v>0</v>
      </c>
      <c r="R206" s="461">
        <v>0</v>
      </c>
      <c r="S206" s="461">
        <v>0</v>
      </c>
      <c r="T206" s="461">
        <v>0</v>
      </c>
      <c r="U206" s="461">
        <v>0</v>
      </c>
      <c r="V206" s="461">
        <v>0</v>
      </c>
    </row>
    <row r="207" spans="1:22" s="455" customFormat="1" hidden="1">
      <c r="A207" s="455" t="str">
        <f t="shared" si="6"/>
        <v>11129101101800</v>
      </c>
      <c r="B207" s="455">
        <f>VLOOKUP(LEFT($C$3:$C$2600,3),Table!$D$2:$E$88,2,FALSE)</f>
        <v>0</v>
      </c>
      <c r="C207" s="455" t="str">
        <f t="shared" si="7"/>
        <v>9101101800</v>
      </c>
      <c r="D207" s="455" t="e">
        <f>VLOOKUP(G207,Table!$G$3:$H$21,2,FALSE)</f>
        <v>#N/A</v>
      </c>
      <c r="E207" s="452" t="s">
        <v>902</v>
      </c>
      <c r="F207" s="452" t="s">
        <v>1117</v>
      </c>
      <c r="G207" s="452" t="s">
        <v>1085</v>
      </c>
      <c r="H207" s="452" t="s">
        <v>1086</v>
      </c>
      <c r="I207" s="453" t="s">
        <v>844</v>
      </c>
      <c r="J207" s="453">
        <v>3131.3</v>
      </c>
      <c r="K207" s="461">
        <v>1149.5999999999999</v>
      </c>
      <c r="L207" s="461">
        <v>913.6</v>
      </c>
      <c r="M207" s="461">
        <v>1068.0999999999999</v>
      </c>
      <c r="N207" s="461">
        <v>0</v>
      </c>
      <c r="O207" s="461">
        <v>0</v>
      </c>
      <c r="P207" s="461">
        <v>0</v>
      </c>
      <c r="Q207" s="461">
        <v>0</v>
      </c>
      <c r="R207" s="461">
        <v>0</v>
      </c>
      <c r="S207" s="461">
        <v>0</v>
      </c>
      <c r="T207" s="461">
        <v>0</v>
      </c>
      <c r="U207" s="461">
        <v>0</v>
      </c>
      <c r="V207" s="461">
        <v>0</v>
      </c>
    </row>
    <row r="208" spans="1:22" s="455" customFormat="1" hidden="1">
      <c r="A208" s="455" t="str">
        <f t="shared" si="6"/>
        <v>11129101101900</v>
      </c>
      <c r="B208" s="455">
        <f>VLOOKUP(LEFT($C$3:$C$2600,3),Table!$D$2:$E$88,2,FALSE)</f>
        <v>0</v>
      </c>
      <c r="C208" s="455" t="str">
        <f t="shared" si="7"/>
        <v>9101101900</v>
      </c>
      <c r="D208" s="455" t="e">
        <f>VLOOKUP(G208,Table!$G$3:$H$21,2,FALSE)</f>
        <v>#N/A</v>
      </c>
      <c r="E208" s="452" t="s">
        <v>902</v>
      </c>
      <c r="F208" s="452" t="s">
        <v>1117</v>
      </c>
      <c r="G208" s="452" t="s">
        <v>1087</v>
      </c>
      <c r="H208" s="452" t="s">
        <v>1088</v>
      </c>
      <c r="I208" s="453" t="s">
        <v>844</v>
      </c>
      <c r="J208" s="453">
        <v>379.98</v>
      </c>
      <c r="K208" s="461">
        <v>126.77</v>
      </c>
      <c r="L208" s="461">
        <v>125.73</v>
      </c>
      <c r="M208" s="461">
        <v>127.48</v>
      </c>
      <c r="N208" s="461">
        <v>0</v>
      </c>
      <c r="O208" s="461">
        <v>0</v>
      </c>
      <c r="P208" s="461">
        <v>0</v>
      </c>
      <c r="Q208" s="461">
        <v>0</v>
      </c>
      <c r="R208" s="461">
        <v>0</v>
      </c>
      <c r="S208" s="461">
        <v>0</v>
      </c>
      <c r="T208" s="461">
        <v>0</v>
      </c>
      <c r="U208" s="461">
        <v>0</v>
      </c>
      <c r="V208" s="461">
        <v>0</v>
      </c>
    </row>
    <row r="209" spans="1:22" s="455" customFormat="1" hidden="1">
      <c r="A209" s="455" t="str">
        <f t="shared" si="6"/>
        <v>11129101201000</v>
      </c>
      <c r="B209" s="455">
        <f>VLOOKUP(LEFT($C$3:$C$2600,3),Table!$D$2:$E$88,2,FALSE)</f>
        <v>0</v>
      </c>
      <c r="C209" s="455" t="str">
        <f t="shared" si="7"/>
        <v>9101201000</v>
      </c>
      <c r="D209" s="455" t="e">
        <f>VLOOKUP(G209,Table!$G$3:$H$21,2,FALSE)</f>
        <v>#N/A</v>
      </c>
      <c r="E209" s="452" t="s">
        <v>902</v>
      </c>
      <c r="F209" s="452" t="s">
        <v>1117</v>
      </c>
      <c r="G209" s="452" t="s">
        <v>1091</v>
      </c>
      <c r="H209" s="452" t="s">
        <v>1092</v>
      </c>
      <c r="I209" s="453" t="s">
        <v>844</v>
      </c>
      <c r="J209" s="453">
        <v>113086</v>
      </c>
      <c r="K209" s="461">
        <v>37828</v>
      </c>
      <c r="L209" s="461">
        <v>37190</v>
      </c>
      <c r="M209" s="461">
        <v>38068</v>
      </c>
      <c r="N209" s="461">
        <v>0</v>
      </c>
      <c r="O209" s="461">
        <v>0</v>
      </c>
      <c r="P209" s="461">
        <v>0</v>
      </c>
      <c r="Q209" s="461">
        <v>0</v>
      </c>
      <c r="R209" s="461">
        <v>0</v>
      </c>
      <c r="S209" s="461">
        <v>0</v>
      </c>
      <c r="T209" s="461">
        <v>0</v>
      </c>
      <c r="U209" s="461">
        <v>0</v>
      </c>
      <c r="V209" s="461">
        <v>0</v>
      </c>
    </row>
    <row r="210" spans="1:22" s="455" customFormat="1" hidden="1">
      <c r="A210" s="455" t="str">
        <f t="shared" si="6"/>
        <v>11129101201400</v>
      </c>
      <c r="B210" s="455">
        <f>VLOOKUP(LEFT($C$3:$C$2600,3),Table!$D$2:$E$88,2,FALSE)</f>
        <v>0</v>
      </c>
      <c r="C210" s="455" t="str">
        <f t="shared" si="7"/>
        <v>9101201400</v>
      </c>
      <c r="D210" s="455" t="e">
        <f>VLOOKUP(G210,Table!$G$3:$H$21,2,FALSE)</f>
        <v>#N/A</v>
      </c>
      <c r="E210" s="452" t="s">
        <v>902</v>
      </c>
      <c r="F210" s="452" t="s">
        <v>1117</v>
      </c>
      <c r="G210" s="452" t="s">
        <v>1093</v>
      </c>
      <c r="H210" s="452" t="s">
        <v>1094</v>
      </c>
      <c r="I210" s="453" t="s">
        <v>844</v>
      </c>
      <c r="J210" s="453">
        <v>209356.92</v>
      </c>
      <c r="K210" s="461">
        <v>69444</v>
      </c>
      <c r="L210" s="461">
        <v>69158</v>
      </c>
      <c r="M210" s="461">
        <v>70754.92</v>
      </c>
      <c r="N210" s="461">
        <v>0</v>
      </c>
      <c r="O210" s="461">
        <v>0</v>
      </c>
      <c r="P210" s="461">
        <v>0</v>
      </c>
      <c r="Q210" s="461">
        <v>0</v>
      </c>
      <c r="R210" s="461">
        <v>0</v>
      </c>
      <c r="S210" s="461">
        <v>0</v>
      </c>
      <c r="T210" s="461">
        <v>0</v>
      </c>
      <c r="U210" s="461">
        <v>0</v>
      </c>
      <c r="V210" s="461">
        <v>0</v>
      </c>
    </row>
    <row r="211" spans="1:22" s="455" customFormat="1" hidden="1">
      <c r="A211" s="455" t="str">
        <f t="shared" si="6"/>
        <v>11129101302500</v>
      </c>
      <c r="B211" s="455">
        <f>VLOOKUP(LEFT($C$3:$C$2600,3),Table!$D$2:$E$88,2,FALSE)</f>
        <v>0</v>
      </c>
      <c r="C211" s="455" t="str">
        <f t="shared" si="7"/>
        <v>9101302500</v>
      </c>
      <c r="D211" s="455" t="e">
        <f>VLOOKUP(G211,Table!$G$3:$H$21,2,FALSE)</f>
        <v>#N/A</v>
      </c>
      <c r="E211" s="452" t="s">
        <v>902</v>
      </c>
      <c r="F211" s="452" t="s">
        <v>1117</v>
      </c>
      <c r="G211" s="452" t="s">
        <v>973</v>
      </c>
      <c r="H211" s="452" t="s">
        <v>974</v>
      </c>
      <c r="I211" s="453" t="s">
        <v>844</v>
      </c>
      <c r="J211" s="453">
        <v>12875</v>
      </c>
      <c r="K211" s="461">
        <v>6105</v>
      </c>
      <c r="L211" s="461">
        <v>520</v>
      </c>
      <c r="M211" s="461">
        <v>6730</v>
      </c>
      <c r="N211" s="461">
        <v>0</v>
      </c>
      <c r="O211" s="461">
        <v>0</v>
      </c>
      <c r="P211" s="461">
        <v>0</v>
      </c>
      <c r="Q211" s="461">
        <v>0</v>
      </c>
      <c r="R211" s="461">
        <v>0</v>
      </c>
      <c r="S211" s="461">
        <v>0</v>
      </c>
      <c r="T211" s="461">
        <v>0</v>
      </c>
      <c r="U211" s="461">
        <v>0</v>
      </c>
      <c r="V211" s="461">
        <v>0</v>
      </c>
    </row>
    <row r="212" spans="1:22" s="455" customFormat="1" hidden="1">
      <c r="A212" s="455" t="str">
        <f t="shared" si="6"/>
        <v>11129152014171</v>
      </c>
      <c r="B212" s="455">
        <f>VLOOKUP(LEFT($C$3:$C$2600,3),Table!$D$2:$E$88,2,FALSE)</f>
        <v>0</v>
      </c>
      <c r="C212" s="455" t="str">
        <f t="shared" si="7"/>
        <v>9152014171</v>
      </c>
      <c r="D212" s="455" t="e">
        <f>VLOOKUP(G212,Table!$G$3:$H$21,2,FALSE)</f>
        <v>#N/A</v>
      </c>
      <c r="E212" s="452" t="s">
        <v>902</v>
      </c>
      <c r="F212" s="452" t="s">
        <v>1117</v>
      </c>
      <c r="G212" s="452" t="s">
        <v>1097</v>
      </c>
      <c r="H212" s="452" t="s">
        <v>1098</v>
      </c>
      <c r="I212" s="453" t="s">
        <v>844</v>
      </c>
      <c r="J212" s="453">
        <v>2000</v>
      </c>
      <c r="K212" s="461">
        <v>1000</v>
      </c>
      <c r="L212" s="461">
        <v>500</v>
      </c>
      <c r="M212" s="461">
        <v>500</v>
      </c>
      <c r="N212" s="461">
        <v>0</v>
      </c>
      <c r="O212" s="461">
        <v>0</v>
      </c>
      <c r="P212" s="461">
        <v>0</v>
      </c>
      <c r="Q212" s="461">
        <v>0</v>
      </c>
      <c r="R212" s="461">
        <v>0</v>
      </c>
      <c r="S212" s="461">
        <v>0</v>
      </c>
      <c r="T212" s="461">
        <v>0</v>
      </c>
      <c r="U212" s="461">
        <v>0</v>
      </c>
      <c r="V212" s="461">
        <v>0</v>
      </c>
    </row>
    <row r="213" spans="1:22" s="455" customFormat="1" hidden="1">
      <c r="A213" s="455" t="str">
        <f t="shared" si="6"/>
        <v>11129152060111</v>
      </c>
      <c r="B213" s="455">
        <f>VLOOKUP(LEFT($C$3:$C$2600,3),Table!$D$2:$E$88,2,FALSE)</f>
        <v>0</v>
      </c>
      <c r="C213" s="455" t="str">
        <f t="shared" si="7"/>
        <v>9152060111</v>
      </c>
      <c r="D213" s="455" t="e">
        <f>VLOOKUP(G213,Table!$G$3:$H$21,2,FALSE)</f>
        <v>#N/A</v>
      </c>
      <c r="E213" s="452" t="s">
        <v>902</v>
      </c>
      <c r="F213" s="452" t="s">
        <v>1117</v>
      </c>
      <c r="G213" s="452" t="s">
        <v>1099</v>
      </c>
      <c r="H213" s="452" t="s">
        <v>1100</v>
      </c>
      <c r="I213" s="453" t="s">
        <v>844</v>
      </c>
      <c r="J213" s="453">
        <v>3932</v>
      </c>
      <c r="K213" s="461">
        <v>2232</v>
      </c>
      <c r="L213" s="461">
        <v>850</v>
      </c>
      <c r="M213" s="461">
        <v>850</v>
      </c>
      <c r="N213" s="461">
        <v>0</v>
      </c>
      <c r="O213" s="461">
        <v>0</v>
      </c>
      <c r="P213" s="461">
        <v>0</v>
      </c>
      <c r="Q213" s="461">
        <v>0</v>
      </c>
      <c r="R213" s="461">
        <v>0</v>
      </c>
      <c r="S213" s="461">
        <v>0</v>
      </c>
      <c r="T213" s="461">
        <v>0</v>
      </c>
      <c r="U213" s="461">
        <v>0</v>
      </c>
      <c r="V213" s="461">
        <v>0</v>
      </c>
    </row>
    <row r="214" spans="1:22" s="455" customFormat="1" hidden="1">
      <c r="A214" s="455" t="str">
        <f t="shared" si="6"/>
        <v>11129152060311</v>
      </c>
      <c r="B214" s="455">
        <f>VLOOKUP(LEFT($C$3:$C$2600,3),Table!$D$2:$E$88,2,FALSE)</f>
        <v>0</v>
      </c>
      <c r="C214" s="455" t="str">
        <f t="shared" si="7"/>
        <v>9152060311</v>
      </c>
      <c r="D214" s="455" t="e">
        <f>VLOOKUP(G214,Table!$G$3:$H$21,2,FALSE)</f>
        <v>#N/A</v>
      </c>
      <c r="E214" s="452" t="s">
        <v>902</v>
      </c>
      <c r="F214" s="452" t="s">
        <v>1117</v>
      </c>
      <c r="G214" s="452" t="s">
        <v>1105</v>
      </c>
      <c r="H214" s="452" t="s">
        <v>1106</v>
      </c>
      <c r="I214" s="453" t="s">
        <v>844</v>
      </c>
      <c r="J214" s="453">
        <v>14764.88</v>
      </c>
      <c r="K214" s="461">
        <v>3301.18</v>
      </c>
      <c r="L214" s="461">
        <v>9441.7000000000007</v>
      </c>
      <c r="M214" s="461">
        <v>2022</v>
      </c>
      <c r="N214" s="461">
        <v>0</v>
      </c>
      <c r="O214" s="461">
        <v>0</v>
      </c>
      <c r="P214" s="461">
        <v>0</v>
      </c>
      <c r="Q214" s="461">
        <v>0</v>
      </c>
      <c r="R214" s="461">
        <v>0</v>
      </c>
      <c r="S214" s="461">
        <v>0</v>
      </c>
      <c r="T214" s="461">
        <v>0</v>
      </c>
      <c r="U214" s="461">
        <v>0</v>
      </c>
      <c r="V214" s="461">
        <v>0</v>
      </c>
    </row>
    <row r="215" spans="1:22" s="455" customFormat="1" hidden="1">
      <c r="A215" s="455" t="str">
        <f t="shared" si="6"/>
        <v>11129152060321</v>
      </c>
      <c r="B215" s="455">
        <f>VLOOKUP(LEFT($C$3:$C$2600,3),Table!$D$2:$E$88,2,FALSE)</f>
        <v>0</v>
      </c>
      <c r="C215" s="455" t="str">
        <f t="shared" si="7"/>
        <v>9152060321</v>
      </c>
      <c r="D215" s="455" t="e">
        <f>VLOOKUP(G215,Table!$G$3:$H$21,2,FALSE)</f>
        <v>#N/A</v>
      </c>
      <c r="E215" s="452" t="s">
        <v>902</v>
      </c>
      <c r="F215" s="452" t="s">
        <v>1117</v>
      </c>
      <c r="G215" s="452" t="s">
        <v>1107</v>
      </c>
      <c r="H215" s="452" t="s">
        <v>1108</v>
      </c>
      <c r="I215" s="453" t="s">
        <v>844</v>
      </c>
      <c r="J215" s="453">
        <v>488.7</v>
      </c>
      <c r="K215" s="461">
        <v>0</v>
      </c>
      <c r="L215" s="461">
        <v>0</v>
      </c>
      <c r="M215" s="461">
        <v>488.7</v>
      </c>
      <c r="N215" s="461">
        <v>0</v>
      </c>
      <c r="O215" s="461">
        <v>0</v>
      </c>
      <c r="P215" s="461">
        <v>0</v>
      </c>
      <c r="Q215" s="461">
        <v>0</v>
      </c>
      <c r="R215" s="461">
        <v>0</v>
      </c>
      <c r="S215" s="461">
        <v>0</v>
      </c>
      <c r="T215" s="461">
        <v>0</v>
      </c>
      <c r="U215" s="461">
        <v>0</v>
      </c>
      <c r="V215" s="461">
        <v>0</v>
      </c>
    </row>
    <row r="216" spans="1:22" s="455" customFormat="1" hidden="1">
      <c r="A216" s="455" t="str">
        <f t="shared" si="6"/>
        <v>11129152060411</v>
      </c>
      <c r="B216" s="455">
        <f>VLOOKUP(LEFT($C$3:$C$2600,3),Table!$D$2:$E$88,2,FALSE)</f>
        <v>0</v>
      </c>
      <c r="C216" s="455" t="str">
        <f t="shared" si="7"/>
        <v>9152060411</v>
      </c>
      <c r="D216" s="455" t="e">
        <f>VLOOKUP(G216,Table!$G$3:$H$21,2,FALSE)</f>
        <v>#N/A</v>
      </c>
      <c r="E216" s="452" t="s">
        <v>902</v>
      </c>
      <c r="F216" s="452" t="s">
        <v>1117</v>
      </c>
      <c r="G216" s="452" t="s">
        <v>1109</v>
      </c>
      <c r="H216" s="452" t="s">
        <v>1110</v>
      </c>
      <c r="I216" s="453" t="s">
        <v>844</v>
      </c>
      <c r="J216" s="453">
        <v>11751.26</v>
      </c>
      <c r="K216" s="461">
        <v>6353.26</v>
      </c>
      <c r="L216" s="461">
        <v>5038</v>
      </c>
      <c r="M216" s="461">
        <v>360</v>
      </c>
      <c r="N216" s="461">
        <v>0</v>
      </c>
      <c r="O216" s="461">
        <v>0</v>
      </c>
      <c r="P216" s="461">
        <v>0</v>
      </c>
      <c r="Q216" s="461">
        <v>0</v>
      </c>
      <c r="R216" s="461">
        <v>0</v>
      </c>
      <c r="S216" s="461">
        <v>0</v>
      </c>
      <c r="T216" s="461">
        <v>0</v>
      </c>
      <c r="U216" s="461">
        <v>0</v>
      </c>
      <c r="V216" s="461">
        <v>0</v>
      </c>
    </row>
    <row r="217" spans="1:22" s="455" customFormat="1" hidden="1">
      <c r="A217" s="455" t="str">
        <f t="shared" si="6"/>
        <v>11129153001000</v>
      </c>
      <c r="B217" s="455">
        <f>VLOOKUP(LEFT($C$3:$C$2600,3),Table!$D$2:$E$88,2,FALSE)</f>
        <v>0</v>
      </c>
      <c r="C217" s="455" t="str">
        <f t="shared" si="7"/>
        <v>9153001000</v>
      </c>
      <c r="D217" s="455" t="e">
        <f>VLOOKUP(G217,Table!$G$3:$H$21,2,FALSE)</f>
        <v>#N/A</v>
      </c>
      <c r="E217" s="452" t="s">
        <v>902</v>
      </c>
      <c r="F217" s="452" t="s">
        <v>1117</v>
      </c>
      <c r="G217" s="452" t="s">
        <v>1043</v>
      </c>
      <c r="H217" s="452" t="s">
        <v>1044</v>
      </c>
      <c r="I217" s="453" t="s">
        <v>844</v>
      </c>
      <c r="J217" s="453">
        <v>30795</v>
      </c>
      <c r="K217" s="461">
        <v>10265</v>
      </c>
      <c r="L217" s="461">
        <v>10265</v>
      </c>
      <c r="M217" s="461">
        <v>10265</v>
      </c>
      <c r="N217" s="461">
        <v>0</v>
      </c>
      <c r="O217" s="461">
        <v>0</v>
      </c>
      <c r="P217" s="461">
        <v>0</v>
      </c>
      <c r="Q217" s="461">
        <v>0</v>
      </c>
      <c r="R217" s="461">
        <v>0</v>
      </c>
      <c r="S217" s="461">
        <v>0</v>
      </c>
      <c r="T217" s="461">
        <v>0</v>
      </c>
      <c r="U217" s="461">
        <v>0</v>
      </c>
      <c r="V217" s="461">
        <v>0</v>
      </c>
    </row>
    <row r="218" spans="1:22" s="455" customFormat="1" hidden="1">
      <c r="A218" s="455" t="str">
        <f t="shared" si="6"/>
        <v>11139101001000</v>
      </c>
      <c r="B218" s="455">
        <f>VLOOKUP(LEFT($C$3:$C$2600,3),Table!$D$2:$E$88,2,FALSE)</f>
        <v>0</v>
      </c>
      <c r="C218" s="455" t="str">
        <f t="shared" si="7"/>
        <v>9101001000</v>
      </c>
      <c r="D218" s="455" t="e">
        <f>VLOOKUP(G218,Table!$G$3:$H$21,2,FALSE)</f>
        <v>#N/A</v>
      </c>
      <c r="E218" s="452" t="s">
        <v>902</v>
      </c>
      <c r="F218" s="452" t="s">
        <v>1121</v>
      </c>
      <c r="G218" s="452" t="s">
        <v>1046</v>
      </c>
      <c r="H218" s="452" t="s">
        <v>1047</v>
      </c>
      <c r="I218" s="453" t="s">
        <v>844</v>
      </c>
      <c r="J218" s="453">
        <v>28502.6</v>
      </c>
      <c r="K218" s="461">
        <v>9558</v>
      </c>
      <c r="L218" s="461">
        <v>9472.2999999999993</v>
      </c>
      <c r="M218" s="461">
        <v>9472.2999999999993</v>
      </c>
      <c r="N218" s="461">
        <v>0</v>
      </c>
      <c r="O218" s="461">
        <v>0</v>
      </c>
      <c r="P218" s="461">
        <v>0</v>
      </c>
      <c r="Q218" s="461">
        <v>0</v>
      </c>
      <c r="R218" s="461">
        <v>0</v>
      </c>
      <c r="S218" s="461">
        <v>0</v>
      </c>
      <c r="T218" s="461">
        <v>0</v>
      </c>
      <c r="U218" s="461">
        <v>0</v>
      </c>
      <c r="V218" s="461">
        <v>0</v>
      </c>
    </row>
    <row r="219" spans="1:22" s="455" customFormat="1" hidden="1">
      <c r="A219" s="455" t="str">
        <f t="shared" si="6"/>
        <v>11139101001100</v>
      </c>
      <c r="B219" s="455">
        <f>VLOOKUP(LEFT($C$3:$C$2600,3),Table!$D$2:$E$88,2,FALSE)</f>
        <v>0</v>
      </c>
      <c r="C219" s="455" t="str">
        <f t="shared" si="7"/>
        <v>9101001100</v>
      </c>
      <c r="D219" s="455" t="e">
        <f>VLOOKUP(G219,Table!$G$3:$H$21,2,FALSE)</f>
        <v>#N/A</v>
      </c>
      <c r="E219" s="452" t="s">
        <v>902</v>
      </c>
      <c r="F219" s="452" t="s">
        <v>1121</v>
      </c>
      <c r="G219" s="452" t="s">
        <v>1048</v>
      </c>
      <c r="H219" s="452" t="s">
        <v>1049</v>
      </c>
      <c r="I219" s="453" t="s">
        <v>844</v>
      </c>
      <c r="J219" s="453">
        <v>20468.419999999998</v>
      </c>
      <c r="K219" s="461">
        <v>6429.32</v>
      </c>
      <c r="L219" s="461">
        <v>8026.13</v>
      </c>
      <c r="M219" s="461">
        <v>7167.8</v>
      </c>
      <c r="N219" s="461">
        <v>0</v>
      </c>
      <c r="O219" s="461">
        <v>0</v>
      </c>
      <c r="P219" s="461">
        <v>0</v>
      </c>
      <c r="Q219" s="461">
        <v>0</v>
      </c>
      <c r="R219" s="461">
        <v>0</v>
      </c>
      <c r="S219" s="461">
        <v>0</v>
      </c>
      <c r="T219" s="461">
        <v>0</v>
      </c>
      <c r="U219" s="461">
        <v>0</v>
      </c>
      <c r="V219" s="461">
        <v>0</v>
      </c>
    </row>
    <row r="220" spans="1:22" s="455" customFormat="1" hidden="1">
      <c r="A220" s="455" t="str">
        <f t="shared" si="6"/>
        <v>11139101001200</v>
      </c>
      <c r="B220" s="455">
        <f>VLOOKUP(LEFT($C$3:$C$2600,3),Table!$D$2:$E$88,2,FALSE)</f>
        <v>0</v>
      </c>
      <c r="C220" s="455" t="str">
        <f t="shared" si="7"/>
        <v>9101001200</v>
      </c>
      <c r="D220" s="455" t="e">
        <f>VLOOKUP(G220,Table!$G$3:$H$21,2,FALSE)</f>
        <v>#N/A</v>
      </c>
      <c r="E220" s="452" t="s">
        <v>902</v>
      </c>
      <c r="F220" s="452" t="s">
        <v>1121</v>
      </c>
      <c r="G220" s="452" t="s">
        <v>1050</v>
      </c>
      <c r="H220" s="452" t="s">
        <v>1051</v>
      </c>
      <c r="I220" s="453" t="s">
        <v>844</v>
      </c>
      <c r="J220" s="453">
        <v>3946.05</v>
      </c>
      <c r="K220" s="461">
        <v>1384.61</v>
      </c>
      <c r="L220" s="461">
        <v>1288.5</v>
      </c>
      <c r="M220" s="461">
        <v>1272.94</v>
      </c>
      <c r="N220" s="461">
        <v>0</v>
      </c>
      <c r="O220" s="461">
        <v>0</v>
      </c>
      <c r="P220" s="461">
        <v>0</v>
      </c>
      <c r="Q220" s="461">
        <v>0</v>
      </c>
      <c r="R220" s="461">
        <v>0</v>
      </c>
      <c r="S220" s="461">
        <v>0</v>
      </c>
      <c r="T220" s="461">
        <v>0</v>
      </c>
      <c r="U220" s="461">
        <v>0</v>
      </c>
      <c r="V220" s="461">
        <v>0</v>
      </c>
    </row>
    <row r="221" spans="1:22" s="455" customFormat="1" hidden="1">
      <c r="A221" s="455" t="str">
        <f t="shared" si="6"/>
        <v>11139101001300</v>
      </c>
      <c r="B221" s="455">
        <f>VLOOKUP(LEFT($C$3:$C$2600,3),Table!$D$2:$E$88,2,FALSE)</f>
        <v>0</v>
      </c>
      <c r="C221" s="455" t="str">
        <f t="shared" si="7"/>
        <v>9101001300</v>
      </c>
      <c r="D221" s="455" t="e">
        <f>VLOOKUP(G221,Table!$G$3:$H$21,2,FALSE)</f>
        <v>#N/A</v>
      </c>
      <c r="E221" s="452" t="s">
        <v>902</v>
      </c>
      <c r="F221" s="452" t="s">
        <v>1121</v>
      </c>
      <c r="G221" s="452" t="s">
        <v>1052</v>
      </c>
      <c r="H221" s="452" t="s">
        <v>1053</v>
      </c>
      <c r="I221" s="453" t="s">
        <v>844</v>
      </c>
      <c r="J221" s="453">
        <v>275</v>
      </c>
      <c r="K221" s="461">
        <v>113</v>
      </c>
      <c r="L221" s="461">
        <v>81</v>
      </c>
      <c r="M221" s="461">
        <v>81</v>
      </c>
      <c r="N221" s="461">
        <v>0</v>
      </c>
      <c r="O221" s="461">
        <v>0</v>
      </c>
      <c r="P221" s="461">
        <v>0</v>
      </c>
      <c r="Q221" s="461">
        <v>0</v>
      </c>
      <c r="R221" s="461">
        <v>0</v>
      </c>
      <c r="S221" s="461">
        <v>0</v>
      </c>
      <c r="T221" s="461">
        <v>0</v>
      </c>
      <c r="U221" s="461">
        <v>0</v>
      </c>
      <c r="V221" s="461">
        <v>0</v>
      </c>
    </row>
    <row r="222" spans="1:22" s="455" customFormat="1" hidden="1">
      <c r="A222" s="455" t="str">
        <f t="shared" si="6"/>
        <v>11139101001400</v>
      </c>
      <c r="B222" s="455">
        <f>VLOOKUP(LEFT($C$3:$C$2600,3),Table!$D$2:$E$88,2,FALSE)</f>
        <v>0</v>
      </c>
      <c r="C222" s="455" t="str">
        <f t="shared" si="7"/>
        <v>9101001400</v>
      </c>
      <c r="D222" s="455" t="e">
        <f>VLOOKUP(G222,Table!$G$3:$H$21,2,FALSE)</f>
        <v>#N/A</v>
      </c>
      <c r="E222" s="452" t="s">
        <v>902</v>
      </c>
      <c r="F222" s="452" t="s">
        <v>1121</v>
      </c>
      <c r="G222" s="452" t="s">
        <v>1054</v>
      </c>
      <c r="H222" s="452" t="s">
        <v>1055</v>
      </c>
      <c r="I222" s="453" t="s">
        <v>844</v>
      </c>
      <c r="J222" s="453">
        <v>4957</v>
      </c>
      <c r="K222" s="461">
        <v>1675</v>
      </c>
      <c r="L222" s="461">
        <v>1640</v>
      </c>
      <c r="M222" s="461">
        <v>1642</v>
      </c>
      <c r="N222" s="461">
        <v>0</v>
      </c>
      <c r="O222" s="461">
        <v>0</v>
      </c>
      <c r="P222" s="461">
        <v>0</v>
      </c>
      <c r="Q222" s="461">
        <v>0</v>
      </c>
      <c r="R222" s="461">
        <v>0</v>
      </c>
      <c r="S222" s="461">
        <v>0</v>
      </c>
      <c r="T222" s="461">
        <v>0</v>
      </c>
      <c r="U222" s="461">
        <v>0</v>
      </c>
      <c r="V222" s="461">
        <v>0</v>
      </c>
    </row>
    <row r="223" spans="1:22" s="455" customFormat="1" hidden="1">
      <c r="A223" s="455" t="str">
        <f t="shared" si="6"/>
        <v>11139101001410</v>
      </c>
      <c r="B223" s="455">
        <f>VLOOKUP(LEFT($C$3:$C$2600,3),Table!$D$2:$E$88,2,FALSE)</f>
        <v>0</v>
      </c>
      <c r="C223" s="455" t="str">
        <f t="shared" si="7"/>
        <v>9101001410</v>
      </c>
      <c r="D223" s="455" t="e">
        <f>VLOOKUP(G223,Table!$G$3:$H$21,2,FALSE)</f>
        <v>#N/A</v>
      </c>
      <c r="E223" s="452" t="s">
        <v>902</v>
      </c>
      <c r="F223" s="452" t="s">
        <v>1121</v>
      </c>
      <c r="G223" s="452" t="s">
        <v>1056</v>
      </c>
      <c r="H223" s="452" t="s">
        <v>1057</v>
      </c>
      <c r="I223" s="453" t="s">
        <v>844</v>
      </c>
      <c r="J223" s="453">
        <v>135</v>
      </c>
      <c r="K223" s="461">
        <v>45</v>
      </c>
      <c r="L223" s="461">
        <v>45</v>
      </c>
      <c r="M223" s="461">
        <v>45</v>
      </c>
      <c r="N223" s="461">
        <v>0</v>
      </c>
      <c r="O223" s="461">
        <v>0</v>
      </c>
      <c r="P223" s="461">
        <v>0</v>
      </c>
      <c r="Q223" s="461">
        <v>0</v>
      </c>
      <c r="R223" s="461">
        <v>0</v>
      </c>
      <c r="S223" s="461">
        <v>0</v>
      </c>
      <c r="T223" s="461">
        <v>0</v>
      </c>
      <c r="U223" s="461">
        <v>0</v>
      </c>
      <c r="V223" s="461">
        <v>0</v>
      </c>
    </row>
    <row r="224" spans="1:22" s="455" customFormat="1" hidden="1">
      <c r="A224" s="455" t="str">
        <f t="shared" si="6"/>
        <v>11139101001500</v>
      </c>
      <c r="B224" s="455">
        <f>VLOOKUP(LEFT($C$3:$C$2600,3),Table!$D$2:$E$88,2,FALSE)</f>
        <v>0</v>
      </c>
      <c r="C224" s="455" t="str">
        <f t="shared" si="7"/>
        <v>9101001500</v>
      </c>
      <c r="D224" s="455" t="e">
        <f>VLOOKUP(G224,Table!$G$3:$H$21,2,FALSE)</f>
        <v>#N/A</v>
      </c>
      <c r="E224" s="452" t="s">
        <v>902</v>
      </c>
      <c r="F224" s="452" t="s">
        <v>1121</v>
      </c>
      <c r="G224" s="452" t="s">
        <v>1058</v>
      </c>
      <c r="H224" s="452" t="s">
        <v>1059</v>
      </c>
      <c r="I224" s="453" t="s">
        <v>844</v>
      </c>
      <c r="J224" s="453">
        <v>612.79999999999995</v>
      </c>
      <c r="K224" s="461">
        <v>206.6</v>
      </c>
      <c r="L224" s="461">
        <v>203.1</v>
      </c>
      <c r="M224" s="461">
        <v>203.1</v>
      </c>
      <c r="N224" s="461">
        <v>0</v>
      </c>
      <c r="O224" s="461">
        <v>0</v>
      </c>
      <c r="P224" s="461">
        <v>0</v>
      </c>
      <c r="Q224" s="461">
        <v>0</v>
      </c>
      <c r="R224" s="461">
        <v>0</v>
      </c>
      <c r="S224" s="461">
        <v>0</v>
      </c>
      <c r="T224" s="461">
        <v>0</v>
      </c>
      <c r="U224" s="461">
        <v>0</v>
      </c>
      <c r="V224" s="461">
        <v>0</v>
      </c>
    </row>
    <row r="225" spans="1:22" s="455" customFormat="1" hidden="1">
      <c r="A225" s="455" t="str">
        <f t="shared" si="6"/>
        <v>11139101001600</v>
      </c>
      <c r="B225" s="455">
        <f>VLOOKUP(LEFT($C$3:$C$2600,3),Table!$D$2:$E$88,2,FALSE)</f>
        <v>0</v>
      </c>
      <c r="C225" s="455" t="str">
        <f t="shared" si="7"/>
        <v>9101001600</v>
      </c>
      <c r="D225" s="455" t="e">
        <f>VLOOKUP(G225,Table!$G$3:$H$21,2,FALSE)</f>
        <v>#N/A</v>
      </c>
      <c r="E225" s="452" t="s">
        <v>902</v>
      </c>
      <c r="F225" s="452" t="s">
        <v>1121</v>
      </c>
      <c r="G225" s="452" t="s">
        <v>1060</v>
      </c>
      <c r="H225" s="452" t="s">
        <v>1061</v>
      </c>
      <c r="I225" s="453" t="s">
        <v>844</v>
      </c>
      <c r="J225" s="453">
        <v>6503.24</v>
      </c>
      <c r="K225" s="461">
        <v>2180.7800000000002</v>
      </c>
      <c r="L225" s="461">
        <v>2161.23</v>
      </c>
      <c r="M225" s="461">
        <v>2161.23</v>
      </c>
      <c r="N225" s="461">
        <v>0</v>
      </c>
      <c r="O225" s="461">
        <v>0</v>
      </c>
      <c r="P225" s="461">
        <v>0</v>
      </c>
      <c r="Q225" s="461">
        <v>0</v>
      </c>
      <c r="R225" s="461">
        <v>0</v>
      </c>
      <c r="S225" s="461">
        <v>0</v>
      </c>
      <c r="T225" s="461">
        <v>0</v>
      </c>
      <c r="U225" s="461">
        <v>0</v>
      </c>
      <c r="V225" s="461">
        <v>0</v>
      </c>
    </row>
    <row r="226" spans="1:22" s="455" customFormat="1" hidden="1">
      <c r="A226" s="455" t="str">
        <f t="shared" si="6"/>
        <v>11139101001700</v>
      </c>
      <c r="B226" s="455">
        <f>VLOOKUP(LEFT($C$3:$C$2600,3),Table!$D$2:$E$88,2,FALSE)</f>
        <v>0</v>
      </c>
      <c r="C226" s="455" t="str">
        <f t="shared" si="7"/>
        <v>9101001700</v>
      </c>
      <c r="D226" s="455" t="e">
        <f>VLOOKUP(G226,Table!$G$3:$H$21,2,FALSE)</f>
        <v>#N/A</v>
      </c>
      <c r="E226" s="452" t="s">
        <v>902</v>
      </c>
      <c r="F226" s="452" t="s">
        <v>1121</v>
      </c>
      <c r="G226" s="452" t="s">
        <v>1062</v>
      </c>
      <c r="H226" s="452" t="s">
        <v>1063</v>
      </c>
      <c r="I226" s="453" t="s">
        <v>844</v>
      </c>
      <c r="J226" s="453">
        <v>-13302.62</v>
      </c>
      <c r="K226" s="461">
        <v>163.72999999999999</v>
      </c>
      <c r="L226" s="461">
        <v>-3105.55</v>
      </c>
      <c r="M226" s="461">
        <v>2789.13</v>
      </c>
      <c r="N226" s="461">
        <v>0</v>
      </c>
      <c r="O226" s="461">
        <v>0</v>
      </c>
      <c r="P226" s="461">
        <v>0</v>
      </c>
      <c r="Q226" s="461">
        <v>0</v>
      </c>
      <c r="R226" s="461">
        <v>0</v>
      </c>
      <c r="S226" s="461">
        <v>0</v>
      </c>
      <c r="T226" s="461">
        <v>0</v>
      </c>
      <c r="U226" s="461">
        <v>0</v>
      </c>
      <c r="V226" s="461">
        <v>0</v>
      </c>
    </row>
    <row r="227" spans="1:22" s="455" customFormat="1" hidden="1">
      <c r="A227" s="455" t="str">
        <f t="shared" si="6"/>
        <v>11139101001800</v>
      </c>
      <c r="B227" s="455">
        <f>VLOOKUP(LEFT($C$3:$C$2600,3),Table!$D$2:$E$88,2,FALSE)</f>
        <v>0</v>
      </c>
      <c r="C227" s="455" t="str">
        <f t="shared" si="7"/>
        <v>9101001800</v>
      </c>
      <c r="D227" s="455" t="e">
        <f>VLOOKUP(G227,Table!$G$3:$H$21,2,FALSE)</f>
        <v>#N/A</v>
      </c>
      <c r="E227" s="452" t="s">
        <v>902</v>
      </c>
      <c r="F227" s="452" t="s">
        <v>1121</v>
      </c>
      <c r="G227" s="452" t="s">
        <v>1064</v>
      </c>
      <c r="H227" s="452" t="s">
        <v>1065</v>
      </c>
      <c r="I227" s="453" t="s">
        <v>844</v>
      </c>
      <c r="J227" s="453">
        <v>1526.2</v>
      </c>
      <c r="K227" s="461">
        <v>491.7</v>
      </c>
      <c r="L227" s="461">
        <v>509.4</v>
      </c>
      <c r="M227" s="461">
        <v>525.1</v>
      </c>
      <c r="N227" s="461">
        <v>0</v>
      </c>
      <c r="O227" s="461">
        <v>0</v>
      </c>
      <c r="P227" s="461">
        <v>0</v>
      </c>
      <c r="Q227" s="461">
        <v>0</v>
      </c>
      <c r="R227" s="461">
        <v>0</v>
      </c>
      <c r="S227" s="461">
        <v>0</v>
      </c>
      <c r="T227" s="461">
        <v>0</v>
      </c>
      <c r="U227" s="461">
        <v>0</v>
      </c>
      <c r="V227" s="461">
        <v>0</v>
      </c>
    </row>
    <row r="228" spans="1:22" s="455" customFormat="1" hidden="1">
      <c r="A228" s="455" t="str">
        <f t="shared" si="6"/>
        <v>11139101001900</v>
      </c>
      <c r="B228" s="455">
        <f>VLOOKUP(LEFT($C$3:$C$2600,3),Table!$D$2:$E$88,2,FALSE)</f>
        <v>0</v>
      </c>
      <c r="C228" s="455" t="str">
        <f t="shared" si="7"/>
        <v>9101001900</v>
      </c>
      <c r="D228" s="455" t="e">
        <f>VLOOKUP(G228,Table!$G$3:$H$21,2,FALSE)</f>
        <v>#N/A</v>
      </c>
      <c r="E228" s="452" t="s">
        <v>902</v>
      </c>
      <c r="F228" s="452" t="s">
        <v>1121</v>
      </c>
      <c r="G228" s="452" t="s">
        <v>1066</v>
      </c>
      <c r="H228" s="452" t="s">
        <v>1007</v>
      </c>
      <c r="I228" s="453" t="s">
        <v>844</v>
      </c>
      <c r="J228" s="453">
        <v>328.11</v>
      </c>
      <c r="K228" s="461">
        <v>110.97</v>
      </c>
      <c r="L228" s="461">
        <v>108.57</v>
      </c>
      <c r="M228" s="461">
        <v>108.57</v>
      </c>
      <c r="N228" s="461">
        <v>0</v>
      </c>
      <c r="O228" s="461">
        <v>0</v>
      </c>
      <c r="P228" s="461">
        <v>0</v>
      </c>
      <c r="Q228" s="461">
        <v>0</v>
      </c>
      <c r="R228" s="461">
        <v>0</v>
      </c>
      <c r="S228" s="461">
        <v>0</v>
      </c>
      <c r="T228" s="461">
        <v>0</v>
      </c>
      <c r="U228" s="461">
        <v>0</v>
      </c>
      <c r="V228" s="461">
        <v>0</v>
      </c>
    </row>
    <row r="229" spans="1:22" s="455" customFormat="1" hidden="1">
      <c r="A229" s="455" t="str">
        <f t="shared" si="6"/>
        <v>11139101101000</v>
      </c>
      <c r="B229" s="455">
        <f>VLOOKUP(LEFT($C$3:$C$2600,3),Table!$D$2:$E$88,2,FALSE)</f>
        <v>0</v>
      </c>
      <c r="C229" s="455" t="str">
        <f t="shared" si="7"/>
        <v>9101101000</v>
      </c>
      <c r="D229" s="455" t="e">
        <f>VLOOKUP(G229,Table!$G$3:$H$21,2,FALSE)</f>
        <v>#N/A</v>
      </c>
      <c r="E229" s="452" t="s">
        <v>902</v>
      </c>
      <c r="F229" s="452" t="s">
        <v>1121</v>
      </c>
      <c r="G229" s="452" t="s">
        <v>1067</v>
      </c>
      <c r="H229" s="452" t="s">
        <v>1068</v>
      </c>
      <c r="I229" s="453" t="s">
        <v>844</v>
      </c>
      <c r="J229" s="453">
        <v>37985.46</v>
      </c>
      <c r="K229" s="461">
        <v>12255.28</v>
      </c>
      <c r="L229" s="461">
        <v>14092.4</v>
      </c>
      <c r="M229" s="461">
        <v>13759.62</v>
      </c>
      <c r="N229" s="461">
        <v>0</v>
      </c>
      <c r="O229" s="461">
        <v>0</v>
      </c>
      <c r="P229" s="461">
        <v>0</v>
      </c>
      <c r="Q229" s="461">
        <v>0</v>
      </c>
      <c r="R229" s="461">
        <v>0</v>
      </c>
      <c r="S229" s="461">
        <v>0</v>
      </c>
      <c r="T229" s="461">
        <v>0</v>
      </c>
      <c r="U229" s="461">
        <v>0</v>
      </c>
      <c r="V229" s="461">
        <v>0</v>
      </c>
    </row>
    <row r="230" spans="1:22" s="455" customFormat="1" hidden="1">
      <c r="A230" s="455" t="str">
        <f t="shared" si="6"/>
        <v>11139101101100</v>
      </c>
      <c r="B230" s="455">
        <f>VLOOKUP(LEFT($C$3:$C$2600,3),Table!$D$2:$E$88,2,FALSE)</f>
        <v>0</v>
      </c>
      <c r="C230" s="455" t="str">
        <f t="shared" si="7"/>
        <v>9101101100</v>
      </c>
      <c r="D230" s="455" t="e">
        <f>VLOOKUP(G230,Table!$G$3:$H$21,2,FALSE)</f>
        <v>#N/A</v>
      </c>
      <c r="E230" s="452" t="s">
        <v>902</v>
      </c>
      <c r="F230" s="452" t="s">
        <v>1121</v>
      </c>
      <c r="G230" s="452" t="s">
        <v>1069</v>
      </c>
      <c r="H230" s="452" t="s">
        <v>1070</v>
      </c>
      <c r="I230" s="453" t="s">
        <v>844</v>
      </c>
      <c r="J230" s="453">
        <v>35727.4</v>
      </c>
      <c r="K230" s="461">
        <v>8565.74</v>
      </c>
      <c r="L230" s="461">
        <v>16687.259999999998</v>
      </c>
      <c r="M230" s="461">
        <v>12915.41</v>
      </c>
      <c r="N230" s="461">
        <v>0</v>
      </c>
      <c r="O230" s="461">
        <v>0</v>
      </c>
      <c r="P230" s="461">
        <v>0</v>
      </c>
      <c r="Q230" s="461">
        <v>0</v>
      </c>
      <c r="R230" s="461">
        <v>0</v>
      </c>
      <c r="S230" s="461">
        <v>0</v>
      </c>
      <c r="T230" s="461">
        <v>0</v>
      </c>
      <c r="U230" s="461">
        <v>0</v>
      </c>
      <c r="V230" s="461">
        <v>0</v>
      </c>
    </row>
    <row r="231" spans="1:22" s="455" customFormat="1" hidden="1">
      <c r="A231" s="455" t="str">
        <f t="shared" si="6"/>
        <v>11139101101200</v>
      </c>
      <c r="B231" s="455">
        <f>VLOOKUP(LEFT($C$3:$C$2600,3),Table!$D$2:$E$88,2,FALSE)</f>
        <v>0</v>
      </c>
      <c r="C231" s="455" t="str">
        <f t="shared" si="7"/>
        <v>9101101200</v>
      </c>
      <c r="D231" s="455" t="e">
        <f>VLOOKUP(G231,Table!$G$3:$H$21,2,FALSE)</f>
        <v>#N/A</v>
      </c>
      <c r="E231" s="452" t="s">
        <v>902</v>
      </c>
      <c r="F231" s="452" t="s">
        <v>1121</v>
      </c>
      <c r="G231" s="452" t="s">
        <v>1071</v>
      </c>
      <c r="H231" s="452" t="s">
        <v>1072</v>
      </c>
      <c r="I231" s="453" t="s">
        <v>844</v>
      </c>
      <c r="J231" s="453">
        <v>7278.19</v>
      </c>
      <c r="K231" s="461">
        <v>2181.87</v>
      </c>
      <c r="L231" s="461">
        <v>2540.27</v>
      </c>
      <c r="M231" s="461">
        <v>2556.0500000000002</v>
      </c>
      <c r="N231" s="461">
        <v>0</v>
      </c>
      <c r="O231" s="461">
        <v>0</v>
      </c>
      <c r="P231" s="461">
        <v>0</v>
      </c>
      <c r="Q231" s="461">
        <v>0</v>
      </c>
      <c r="R231" s="461">
        <v>0</v>
      </c>
      <c r="S231" s="461">
        <v>0</v>
      </c>
      <c r="T231" s="461">
        <v>0</v>
      </c>
      <c r="U231" s="461">
        <v>0</v>
      </c>
      <c r="V231" s="461">
        <v>0</v>
      </c>
    </row>
    <row r="232" spans="1:22" s="455" customFormat="1" hidden="1">
      <c r="A232" s="455" t="str">
        <f t="shared" si="6"/>
        <v>11139101101300</v>
      </c>
      <c r="B232" s="455">
        <f>VLOOKUP(LEFT($C$3:$C$2600,3),Table!$D$2:$E$88,2,FALSE)</f>
        <v>0</v>
      </c>
      <c r="C232" s="455" t="str">
        <f t="shared" si="7"/>
        <v>9101101300</v>
      </c>
      <c r="D232" s="455" t="e">
        <f>VLOOKUP(G232,Table!$G$3:$H$21,2,FALSE)</f>
        <v>#N/A</v>
      </c>
      <c r="E232" s="452" t="s">
        <v>902</v>
      </c>
      <c r="F232" s="452" t="s">
        <v>1121</v>
      </c>
      <c r="G232" s="452" t="s">
        <v>1073</v>
      </c>
      <c r="H232" s="452" t="s">
        <v>1074</v>
      </c>
      <c r="I232" s="453" t="s">
        <v>844</v>
      </c>
      <c r="J232" s="453">
        <v>644</v>
      </c>
      <c r="K232" s="461">
        <v>209</v>
      </c>
      <c r="L232" s="461">
        <v>218</v>
      </c>
      <c r="M232" s="461">
        <v>217</v>
      </c>
      <c r="N232" s="461">
        <v>0</v>
      </c>
      <c r="O232" s="461">
        <v>0</v>
      </c>
      <c r="P232" s="461">
        <v>0</v>
      </c>
      <c r="Q232" s="461">
        <v>0</v>
      </c>
      <c r="R232" s="461">
        <v>0</v>
      </c>
      <c r="S232" s="461">
        <v>0</v>
      </c>
      <c r="T232" s="461">
        <v>0</v>
      </c>
      <c r="U232" s="461">
        <v>0</v>
      </c>
      <c r="V232" s="461">
        <v>0</v>
      </c>
    </row>
    <row r="233" spans="1:22" s="455" customFormat="1" hidden="1">
      <c r="A233" s="455" t="str">
        <f t="shared" si="6"/>
        <v>11139101101400</v>
      </c>
      <c r="B233" s="455">
        <f>VLOOKUP(LEFT($C$3:$C$2600,3),Table!$D$2:$E$88,2,FALSE)</f>
        <v>0</v>
      </c>
      <c r="C233" s="455" t="str">
        <f t="shared" si="7"/>
        <v>9101101400</v>
      </c>
      <c r="D233" s="455" t="e">
        <f>VLOOKUP(G233,Table!$G$3:$H$21,2,FALSE)</f>
        <v>#N/A</v>
      </c>
      <c r="E233" s="452" t="s">
        <v>902</v>
      </c>
      <c r="F233" s="452" t="s">
        <v>1121</v>
      </c>
      <c r="G233" s="452" t="s">
        <v>1075</v>
      </c>
      <c r="H233" s="452" t="s">
        <v>1076</v>
      </c>
      <c r="I233" s="453" t="s">
        <v>844</v>
      </c>
      <c r="J233" s="453">
        <v>7370</v>
      </c>
      <c r="K233" s="461">
        <v>2236</v>
      </c>
      <c r="L233" s="461">
        <v>2518</v>
      </c>
      <c r="M233" s="461">
        <v>2616</v>
      </c>
      <c r="N233" s="461">
        <v>0</v>
      </c>
      <c r="O233" s="461">
        <v>0</v>
      </c>
      <c r="P233" s="461">
        <v>0</v>
      </c>
      <c r="Q233" s="461">
        <v>0</v>
      </c>
      <c r="R233" s="461">
        <v>0</v>
      </c>
      <c r="S233" s="461">
        <v>0</v>
      </c>
      <c r="T233" s="461">
        <v>0</v>
      </c>
      <c r="U233" s="461">
        <v>0</v>
      </c>
      <c r="V233" s="461">
        <v>0</v>
      </c>
    </row>
    <row r="234" spans="1:22" s="455" customFormat="1" hidden="1">
      <c r="A234" s="455" t="str">
        <f t="shared" si="6"/>
        <v>11139101101410</v>
      </c>
      <c r="B234" s="455">
        <f>VLOOKUP(LEFT($C$3:$C$2600,3),Table!$D$2:$E$88,2,FALSE)</f>
        <v>0</v>
      </c>
      <c r="C234" s="455" t="str">
        <f t="shared" si="7"/>
        <v>9101101410</v>
      </c>
      <c r="D234" s="455" t="e">
        <f>VLOOKUP(G234,Table!$G$3:$H$21,2,FALSE)</f>
        <v>#N/A</v>
      </c>
      <c r="E234" s="452" t="s">
        <v>902</v>
      </c>
      <c r="F234" s="452" t="s">
        <v>1121</v>
      </c>
      <c r="G234" s="452" t="s">
        <v>1077</v>
      </c>
      <c r="H234" s="452" t="s">
        <v>1078</v>
      </c>
      <c r="I234" s="453" t="s">
        <v>844</v>
      </c>
      <c r="J234" s="453">
        <v>225</v>
      </c>
      <c r="K234" s="461">
        <v>75</v>
      </c>
      <c r="L234" s="461">
        <v>75</v>
      </c>
      <c r="M234" s="461">
        <v>75</v>
      </c>
      <c r="N234" s="461">
        <v>0</v>
      </c>
      <c r="O234" s="461">
        <v>0</v>
      </c>
      <c r="P234" s="461">
        <v>0</v>
      </c>
      <c r="Q234" s="461">
        <v>0</v>
      </c>
      <c r="R234" s="461">
        <v>0</v>
      </c>
      <c r="S234" s="461">
        <v>0</v>
      </c>
      <c r="T234" s="461">
        <v>0</v>
      </c>
      <c r="U234" s="461">
        <v>0</v>
      </c>
      <c r="V234" s="461">
        <v>0</v>
      </c>
    </row>
    <row r="235" spans="1:22" s="455" customFormat="1" hidden="1">
      <c r="A235" s="455" t="str">
        <f t="shared" si="6"/>
        <v>11139101101500</v>
      </c>
      <c r="B235" s="455">
        <f>VLOOKUP(LEFT($C$3:$C$2600,3),Table!$D$2:$E$88,2,FALSE)</f>
        <v>0</v>
      </c>
      <c r="C235" s="455" t="str">
        <f t="shared" si="7"/>
        <v>9101101500</v>
      </c>
      <c r="D235" s="455" t="e">
        <f>VLOOKUP(G235,Table!$G$3:$H$21,2,FALSE)</f>
        <v>#N/A</v>
      </c>
      <c r="E235" s="452" t="s">
        <v>902</v>
      </c>
      <c r="F235" s="452" t="s">
        <v>1121</v>
      </c>
      <c r="G235" s="452" t="s">
        <v>1079</v>
      </c>
      <c r="H235" s="452" t="s">
        <v>1080</v>
      </c>
      <c r="I235" s="453" t="s">
        <v>844</v>
      </c>
      <c r="J235" s="453">
        <v>1168.55</v>
      </c>
      <c r="K235" s="461">
        <v>343.95</v>
      </c>
      <c r="L235" s="461">
        <v>413.2</v>
      </c>
      <c r="M235" s="461">
        <v>411.4</v>
      </c>
      <c r="N235" s="461">
        <v>0</v>
      </c>
      <c r="O235" s="461">
        <v>0</v>
      </c>
      <c r="P235" s="461">
        <v>0</v>
      </c>
      <c r="Q235" s="461">
        <v>0</v>
      </c>
      <c r="R235" s="461">
        <v>0</v>
      </c>
      <c r="S235" s="461">
        <v>0</v>
      </c>
      <c r="T235" s="461">
        <v>0</v>
      </c>
      <c r="U235" s="461">
        <v>0</v>
      </c>
      <c r="V235" s="461">
        <v>0</v>
      </c>
    </row>
    <row r="236" spans="1:22" s="455" customFormat="1" hidden="1">
      <c r="A236" s="455" t="str">
        <f t="shared" si="6"/>
        <v>11139101101600</v>
      </c>
      <c r="B236" s="455">
        <f>VLOOKUP(LEFT($C$3:$C$2600,3),Table!$D$2:$E$88,2,FALSE)</f>
        <v>0</v>
      </c>
      <c r="C236" s="455" t="str">
        <f t="shared" si="7"/>
        <v>9101101600</v>
      </c>
      <c r="D236" s="455" t="e">
        <f>VLOOKUP(G236,Table!$G$3:$H$21,2,FALSE)</f>
        <v>#N/A</v>
      </c>
      <c r="E236" s="452" t="s">
        <v>902</v>
      </c>
      <c r="F236" s="452" t="s">
        <v>1121</v>
      </c>
      <c r="G236" s="452" t="s">
        <v>1081</v>
      </c>
      <c r="H236" s="452" t="s">
        <v>1082</v>
      </c>
      <c r="I236" s="453" t="s">
        <v>844</v>
      </c>
      <c r="J236" s="453">
        <v>9109.19</v>
      </c>
      <c r="K236" s="461">
        <v>2742.63</v>
      </c>
      <c r="L236" s="461">
        <v>3183.28</v>
      </c>
      <c r="M236" s="461">
        <v>3183.28</v>
      </c>
      <c r="N236" s="461">
        <v>0</v>
      </c>
      <c r="O236" s="461">
        <v>0</v>
      </c>
      <c r="P236" s="461">
        <v>0</v>
      </c>
      <c r="Q236" s="461">
        <v>0</v>
      </c>
      <c r="R236" s="461">
        <v>0</v>
      </c>
      <c r="S236" s="461">
        <v>0</v>
      </c>
      <c r="T236" s="461">
        <v>0</v>
      </c>
      <c r="U236" s="461">
        <v>0</v>
      </c>
      <c r="V236" s="461">
        <v>0</v>
      </c>
    </row>
    <row r="237" spans="1:22" s="455" customFormat="1" hidden="1">
      <c r="A237" s="455" t="str">
        <f t="shared" si="6"/>
        <v>11139101101700</v>
      </c>
      <c r="B237" s="455">
        <f>VLOOKUP(LEFT($C$3:$C$2600,3),Table!$D$2:$E$88,2,FALSE)</f>
        <v>0</v>
      </c>
      <c r="C237" s="455" t="str">
        <f t="shared" si="7"/>
        <v>9101101700</v>
      </c>
      <c r="D237" s="455" t="e">
        <f>VLOOKUP(G237,Table!$G$3:$H$21,2,FALSE)</f>
        <v>#N/A</v>
      </c>
      <c r="E237" s="452" t="s">
        <v>902</v>
      </c>
      <c r="F237" s="452" t="s">
        <v>1121</v>
      </c>
      <c r="G237" s="452" t="s">
        <v>1083</v>
      </c>
      <c r="H237" s="452" t="s">
        <v>1084</v>
      </c>
      <c r="I237" s="453" t="s">
        <v>844</v>
      </c>
      <c r="J237" s="453">
        <v>-15939.37</v>
      </c>
      <c r="K237" s="461">
        <v>266.33999999999997</v>
      </c>
      <c r="L237" s="461">
        <v>2969.2</v>
      </c>
      <c r="M237" s="461">
        <v>263.76</v>
      </c>
      <c r="N237" s="461">
        <v>0</v>
      </c>
      <c r="O237" s="461">
        <v>0</v>
      </c>
      <c r="P237" s="461">
        <v>0</v>
      </c>
      <c r="Q237" s="461">
        <v>0</v>
      </c>
      <c r="R237" s="461">
        <v>0</v>
      </c>
      <c r="S237" s="461">
        <v>0</v>
      </c>
      <c r="T237" s="461">
        <v>0</v>
      </c>
      <c r="U237" s="461">
        <v>0</v>
      </c>
      <c r="V237" s="461">
        <v>0</v>
      </c>
    </row>
    <row r="238" spans="1:22" s="455" customFormat="1" hidden="1">
      <c r="A238" s="455" t="str">
        <f t="shared" si="6"/>
        <v>11139101101800</v>
      </c>
      <c r="B238" s="455">
        <f>VLOOKUP(LEFT($C$3:$C$2600,3),Table!$D$2:$E$88,2,FALSE)</f>
        <v>0</v>
      </c>
      <c r="C238" s="455" t="str">
        <f t="shared" si="7"/>
        <v>9101101800</v>
      </c>
      <c r="D238" s="455" t="e">
        <f>VLOOKUP(G238,Table!$G$3:$H$21,2,FALSE)</f>
        <v>#N/A</v>
      </c>
      <c r="E238" s="452" t="s">
        <v>902</v>
      </c>
      <c r="F238" s="452" t="s">
        <v>1121</v>
      </c>
      <c r="G238" s="452" t="s">
        <v>1085</v>
      </c>
      <c r="H238" s="452" t="s">
        <v>1086</v>
      </c>
      <c r="I238" s="453" t="s">
        <v>844</v>
      </c>
      <c r="J238" s="453">
        <v>3953.1</v>
      </c>
      <c r="K238" s="461">
        <v>1175.5</v>
      </c>
      <c r="L238" s="461">
        <v>1387.6</v>
      </c>
      <c r="M238" s="461">
        <v>1390</v>
      </c>
      <c r="N238" s="461">
        <v>0</v>
      </c>
      <c r="O238" s="461">
        <v>0</v>
      </c>
      <c r="P238" s="461">
        <v>0</v>
      </c>
      <c r="Q238" s="461">
        <v>0</v>
      </c>
      <c r="R238" s="461">
        <v>0</v>
      </c>
      <c r="S238" s="461">
        <v>0</v>
      </c>
      <c r="T238" s="461">
        <v>0</v>
      </c>
      <c r="U238" s="461">
        <v>0</v>
      </c>
      <c r="V238" s="461">
        <v>0</v>
      </c>
    </row>
    <row r="239" spans="1:22" s="455" customFormat="1" hidden="1">
      <c r="A239" s="455" t="str">
        <f t="shared" si="6"/>
        <v>11139101101900</v>
      </c>
      <c r="B239" s="455">
        <f>VLOOKUP(LEFT($C$3:$C$2600,3),Table!$D$2:$E$88,2,FALSE)</f>
        <v>0</v>
      </c>
      <c r="C239" s="455" t="str">
        <f t="shared" si="7"/>
        <v>9101101900</v>
      </c>
      <c r="D239" s="455" t="e">
        <f>VLOOKUP(G239,Table!$G$3:$H$21,2,FALSE)</f>
        <v>#N/A</v>
      </c>
      <c r="E239" s="452" t="s">
        <v>902</v>
      </c>
      <c r="F239" s="452" t="s">
        <v>1121</v>
      </c>
      <c r="G239" s="452" t="s">
        <v>1087</v>
      </c>
      <c r="H239" s="452" t="s">
        <v>1088</v>
      </c>
      <c r="I239" s="453" t="s">
        <v>844</v>
      </c>
      <c r="J239" s="453">
        <v>482.35</v>
      </c>
      <c r="K239" s="461">
        <v>146.30000000000001</v>
      </c>
      <c r="L239" s="461">
        <v>165.07</v>
      </c>
      <c r="M239" s="461">
        <v>170.98</v>
      </c>
      <c r="N239" s="461">
        <v>0</v>
      </c>
      <c r="O239" s="461">
        <v>0</v>
      </c>
      <c r="P239" s="461">
        <v>0</v>
      </c>
      <c r="Q239" s="461">
        <v>0</v>
      </c>
      <c r="R239" s="461">
        <v>0</v>
      </c>
      <c r="S239" s="461">
        <v>0</v>
      </c>
      <c r="T239" s="461">
        <v>0</v>
      </c>
      <c r="U239" s="461">
        <v>0</v>
      </c>
      <c r="V239" s="461">
        <v>0</v>
      </c>
    </row>
    <row r="240" spans="1:22" s="455" customFormat="1" hidden="1">
      <c r="A240" s="455" t="str">
        <f t="shared" si="6"/>
        <v>11139101201000</v>
      </c>
      <c r="B240" s="455">
        <f>VLOOKUP(LEFT($C$3:$C$2600,3),Table!$D$2:$E$88,2,FALSE)</f>
        <v>0</v>
      </c>
      <c r="C240" s="455" t="str">
        <f t="shared" si="7"/>
        <v>9101201000</v>
      </c>
      <c r="D240" s="455" t="e">
        <f>VLOOKUP(G240,Table!$G$3:$H$21,2,FALSE)</f>
        <v>#N/A</v>
      </c>
      <c r="E240" s="452" t="s">
        <v>902</v>
      </c>
      <c r="F240" s="452" t="s">
        <v>1121</v>
      </c>
      <c r="G240" s="452" t="s">
        <v>1091</v>
      </c>
      <c r="H240" s="452" t="s">
        <v>1092</v>
      </c>
      <c r="I240" s="453" t="s">
        <v>844</v>
      </c>
      <c r="J240" s="453">
        <v>192217.9</v>
      </c>
      <c r="K240" s="461">
        <v>43465.72</v>
      </c>
      <c r="L240" s="461">
        <v>75597.52</v>
      </c>
      <c r="M240" s="461">
        <v>73154.66</v>
      </c>
      <c r="N240" s="461">
        <v>0</v>
      </c>
      <c r="O240" s="461">
        <v>0</v>
      </c>
      <c r="P240" s="461">
        <v>0</v>
      </c>
      <c r="Q240" s="461">
        <v>0</v>
      </c>
      <c r="R240" s="461">
        <v>0</v>
      </c>
      <c r="S240" s="461">
        <v>0</v>
      </c>
      <c r="T240" s="461">
        <v>0</v>
      </c>
      <c r="U240" s="461">
        <v>0</v>
      </c>
      <c r="V240" s="461">
        <v>0</v>
      </c>
    </row>
    <row r="241" spans="1:22" s="455" customFormat="1" hidden="1">
      <c r="A241" s="455" t="str">
        <f t="shared" si="6"/>
        <v>11139101201400</v>
      </c>
      <c r="B241" s="455">
        <f>VLOOKUP(LEFT($C$3:$C$2600,3),Table!$D$2:$E$88,2,FALSE)</f>
        <v>0</v>
      </c>
      <c r="C241" s="455" t="str">
        <f t="shared" si="7"/>
        <v>9101201400</v>
      </c>
      <c r="D241" s="455" t="e">
        <f>VLOOKUP(G241,Table!$G$3:$H$21,2,FALSE)</f>
        <v>#N/A</v>
      </c>
      <c r="E241" s="452" t="s">
        <v>902</v>
      </c>
      <c r="F241" s="452" t="s">
        <v>1121</v>
      </c>
      <c r="G241" s="452" t="s">
        <v>1093</v>
      </c>
      <c r="H241" s="452" t="s">
        <v>1094</v>
      </c>
      <c r="I241" s="453" t="s">
        <v>844</v>
      </c>
      <c r="J241" s="453">
        <v>223873.42</v>
      </c>
      <c r="K241" s="461">
        <v>42868</v>
      </c>
      <c r="L241" s="461">
        <v>87059</v>
      </c>
      <c r="M241" s="461">
        <v>93946.42</v>
      </c>
      <c r="N241" s="461">
        <v>0</v>
      </c>
      <c r="O241" s="461">
        <v>0</v>
      </c>
      <c r="P241" s="461">
        <v>0</v>
      </c>
      <c r="Q241" s="461">
        <v>0</v>
      </c>
      <c r="R241" s="461">
        <v>0</v>
      </c>
      <c r="S241" s="461">
        <v>0</v>
      </c>
      <c r="T241" s="461">
        <v>0</v>
      </c>
      <c r="U241" s="461">
        <v>0</v>
      </c>
      <c r="V241" s="461">
        <v>0</v>
      </c>
    </row>
    <row r="242" spans="1:22" s="455" customFormat="1" hidden="1">
      <c r="A242" s="455" t="str">
        <f t="shared" si="6"/>
        <v>11139101302500</v>
      </c>
      <c r="B242" s="455">
        <f>VLOOKUP(LEFT($C$3:$C$2600,3),Table!$D$2:$E$88,2,FALSE)</f>
        <v>0</v>
      </c>
      <c r="C242" s="455" t="str">
        <f t="shared" si="7"/>
        <v>9101302500</v>
      </c>
      <c r="D242" s="455" t="e">
        <f>VLOOKUP(G242,Table!$G$3:$H$21,2,FALSE)</f>
        <v>#N/A</v>
      </c>
      <c r="E242" s="452" t="s">
        <v>902</v>
      </c>
      <c r="F242" s="452" t="s">
        <v>1121</v>
      </c>
      <c r="G242" s="452" t="s">
        <v>973</v>
      </c>
      <c r="H242" s="452" t="s">
        <v>974</v>
      </c>
      <c r="I242" s="453" t="s">
        <v>844</v>
      </c>
      <c r="J242" s="453">
        <v>22472.85</v>
      </c>
      <c r="K242" s="461">
        <v>7271.9</v>
      </c>
      <c r="L242" s="461">
        <v>10145.040000000001</v>
      </c>
      <c r="M242" s="461">
        <v>6035.91</v>
      </c>
      <c r="N242" s="461">
        <v>0</v>
      </c>
      <c r="O242" s="461">
        <v>0</v>
      </c>
      <c r="P242" s="461">
        <v>0</v>
      </c>
      <c r="Q242" s="461">
        <v>0</v>
      </c>
      <c r="R242" s="461">
        <v>0</v>
      </c>
      <c r="S242" s="461">
        <v>0</v>
      </c>
      <c r="T242" s="461">
        <v>0</v>
      </c>
      <c r="U242" s="461">
        <v>0</v>
      </c>
      <c r="V242" s="461">
        <v>0</v>
      </c>
    </row>
    <row r="243" spans="1:22" s="455" customFormat="1" hidden="1">
      <c r="A243" s="455" t="str">
        <f t="shared" si="6"/>
        <v>11139101304100</v>
      </c>
      <c r="B243" s="455">
        <f>VLOOKUP(LEFT($C$3:$C$2600,3),Table!$D$2:$E$88,2,FALSE)</f>
        <v>0</v>
      </c>
      <c r="C243" s="455" t="str">
        <f t="shared" si="7"/>
        <v>9101304100</v>
      </c>
      <c r="D243" s="455" t="e">
        <f>VLOOKUP(G243,Table!$G$3:$H$21,2,FALSE)</f>
        <v>#N/A</v>
      </c>
      <c r="E243" s="452" t="s">
        <v>902</v>
      </c>
      <c r="F243" s="452" t="s">
        <v>1121</v>
      </c>
      <c r="G243" s="452" t="s">
        <v>981</v>
      </c>
      <c r="H243" s="452" t="s">
        <v>1118</v>
      </c>
      <c r="I243" s="453" t="s">
        <v>844</v>
      </c>
      <c r="J243" s="453">
        <v>55858.400000000001</v>
      </c>
      <c r="K243" s="461">
        <v>0</v>
      </c>
      <c r="L243" s="461">
        <v>28158.400000000001</v>
      </c>
      <c r="M243" s="461">
        <v>27700</v>
      </c>
      <c r="N243" s="461">
        <v>0</v>
      </c>
      <c r="O243" s="461">
        <v>0</v>
      </c>
      <c r="P243" s="461">
        <v>0</v>
      </c>
      <c r="Q243" s="461">
        <v>0</v>
      </c>
      <c r="R243" s="461">
        <v>0</v>
      </c>
      <c r="S243" s="461">
        <v>0</v>
      </c>
      <c r="T243" s="461">
        <v>0</v>
      </c>
      <c r="U243" s="461">
        <v>0</v>
      </c>
      <c r="V243" s="461">
        <v>0</v>
      </c>
    </row>
    <row r="244" spans="1:22" s="455" customFormat="1" hidden="1">
      <c r="A244" s="455" t="str">
        <f t="shared" si="6"/>
        <v>11139101305100</v>
      </c>
      <c r="B244" s="455">
        <f>VLOOKUP(LEFT($C$3:$C$2600,3),Table!$D$2:$E$88,2,FALSE)</f>
        <v>0</v>
      </c>
      <c r="C244" s="455" t="str">
        <f t="shared" si="7"/>
        <v>9101305100</v>
      </c>
      <c r="D244" s="455" t="e">
        <f>VLOOKUP(G244,Table!$G$3:$H$21,2,FALSE)</f>
        <v>#N/A</v>
      </c>
      <c r="E244" s="452" t="s">
        <v>902</v>
      </c>
      <c r="F244" s="452" t="s">
        <v>1121</v>
      </c>
      <c r="G244" s="452" t="s">
        <v>985</v>
      </c>
      <c r="H244" s="452" t="s">
        <v>986</v>
      </c>
      <c r="I244" s="453" t="s">
        <v>844</v>
      </c>
      <c r="J244" s="453">
        <v>73968.22</v>
      </c>
      <c r="K244" s="461">
        <v>30386.13</v>
      </c>
      <c r="L244" s="461">
        <v>43582.09</v>
      </c>
      <c r="M244" s="461">
        <v>0</v>
      </c>
      <c r="N244" s="461">
        <v>0</v>
      </c>
      <c r="O244" s="461">
        <v>0</v>
      </c>
      <c r="P244" s="461">
        <v>0</v>
      </c>
      <c r="Q244" s="461">
        <v>0</v>
      </c>
      <c r="R244" s="461">
        <v>0</v>
      </c>
      <c r="S244" s="461">
        <v>0</v>
      </c>
      <c r="T244" s="461">
        <v>0</v>
      </c>
      <c r="U244" s="461">
        <v>0</v>
      </c>
      <c r="V244" s="461">
        <v>0</v>
      </c>
    </row>
    <row r="245" spans="1:22" s="455" customFormat="1" hidden="1">
      <c r="A245" s="455" t="str">
        <f t="shared" si="6"/>
        <v>11139152014111</v>
      </c>
      <c r="B245" s="455">
        <f>VLOOKUP(LEFT($C$3:$C$2600,3),Table!$D$2:$E$88,2,FALSE)</f>
        <v>0</v>
      </c>
      <c r="C245" s="455" t="str">
        <f t="shared" si="7"/>
        <v>9152014111</v>
      </c>
      <c r="D245" s="455" t="e">
        <f>VLOOKUP(G245,Table!$G$3:$H$21,2,FALSE)</f>
        <v>#N/A</v>
      </c>
      <c r="E245" s="452" t="s">
        <v>902</v>
      </c>
      <c r="F245" s="452" t="s">
        <v>1121</v>
      </c>
      <c r="G245" s="452" t="s">
        <v>1095</v>
      </c>
      <c r="H245" s="452" t="s">
        <v>1122</v>
      </c>
      <c r="I245" s="453" t="s">
        <v>844</v>
      </c>
      <c r="J245" s="453">
        <v>16000</v>
      </c>
      <c r="K245" s="461">
        <v>0</v>
      </c>
      <c r="L245" s="461">
        <v>16000</v>
      </c>
      <c r="M245" s="461">
        <v>0</v>
      </c>
      <c r="N245" s="461">
        <v>0</v>
      </c>
      <c r="O245" s="461">
        <v>0</v>
      </c>
      <c r="P245" s="461">
        <v>0</v>
      </c>
      <c r="Q245" s="461">
        <v>0</v>
      </c>
      <c r="R245" s="461">
        <v>0</v>
      </c>
      <c r="S245" s="461">
        <v>0</v>
      </c>
      <c r="T245" s="461">
        <v>0</v>
      </c>
      <c r="U245" s="461">
        <v>0</v>
      </c>
      <c r="V245" s="461">
        <v>0</v>
      </c>
    </row>
    <row r="246" spans="1:22" s="455" customFormat="1" hidden="1">
      <c r="A246" s="455" t="str">
        <f t="shared" si="6"/>
        <v>11139152014171</v>
      </c>
      <c r="B246" s="455">
        <f>VLOOKUP(LEFT($C$3:$C$2600,3),Table!$D$2:$E$88,2,FALSE)</f>
        <v>0</v>
      </c>
      <c r="C246" s="455" t="str">
        <f t="shared" si="7"/>
        <v>9152014171</v>
      </c>
      <c r="D246" s="455" t="e">
        <f>VLOOKUP(G246,Table!$G$3:$H$21,2,FALSE)</f>
        <v>#N/A</v>
      </c>
      <c r="E246" s="452" t="s">
        <v>902</v>
      </c>
      <c r="F246" s="452" t="s">
        <v>1121</v>
      </c>
      <c r="G246" s="452" t="s">
        <v>1097</v>
      </c>
      <c r="H246" s="452" t="s">
        <v>1123</v>
      </c>
      <c r="I246" s="453" t="s">
        <v>844</v>
      </c>
      <c r="J246" s="453">
        <v>2000</v>
      </c>
      <c r="K246" s="461">
        <v>1000</v>
      </c>
      <c r="L246" s="461">
        <v>500</v>
      </c>
      <c r="M246" s="461">
        <v>500</v>
      </c>
      <c r="N246" s="461">
        <v>0</v>
      </c>
      <c r="O246" s="461">
        <v>0</v>
      </c>
      <c r="P246" s="461">
        <v>0</v>
      </c>
      <c r="Q246" s="461">
        <v>0</v>
      </c>
      <c r="R246" s="461">
        <v>0</v>
      </c>
      <c r="S246" s="461">
        <v>0</v>
      </c>
      <c r="T246" s="461">
        <v>0</v>
      </c>
      <c r="U246" s="461">
        <v>0</v>
      </c>
      <c r="V246" s="461">
        <v>0</v>
      </c>
    </row>
    <row r="247" spans="1:22" s="455" customFormat="1" hidden="1">
      <c r="A247" s="455" t="str">
        <f t="shared" si="6"/>
        <v>11139152020121</v>
      </c>
      <c r="B247" s="455">
        <f>VLOOKUP(LEFT($C$3:$C$2600,3),Table!$D$2:$E$88,2,FALSE)</f>
        <v>0</v>
      </c>
      <c r="C247" s="455" t="str">
        <f t="shared" si="7"/>
        <v>9152020121</v>
      </c>
      <c r="D247" s="455" t="e">
        <f>VLOOKUP(G247,Table!$G$3:$H$21,2,FALSE)</f>
        <v>#N/A</v>
      </c>
      <c r="E247" s="452" t="s">
        <v>902</v>
      </c>
      <c r="F247" s="452" t="s">
        <v>1121</v>
      </c>
      <c r="G247" s="452" t="s">
        <v>1124</v>
      </c>
      <c r="H247" s="452" t="s">
        <v>1125</v>
      </c>
      <c r="I247" s="453" t="s">
        <v>844</v>
      </c>
      <c r="J247" s="453">
        <v>4225.2</v>
      </c>
      <c r="K247" s="461">
        <v>2941.2</v>
      </c>
      <c r="L247" s="461">
        <v>714</v>
      </c>
      <c r="M247" s="461">
        <v>23304</v>
      </c>
      <c r="N247" s="461">
        <v>0</v>
      </c>
      <c r="O247" s="461">
        <v>0</v>
      </c>
      <c r="P247" s="461">
        <v>0</v>
      </c>
      <c r="Q247" s="461">
        <v>0</v>
      </c>
      <c r="R247" s="461">
        <v>0</v>
      </c>
      <c r="S247" s="461">
        <v>0</v>
      </c>
      <c r="T247" s="461">
        <v>0</v>
      </c>
      <c r="U247" s="461">
        <v>0</v>
      </c>
      <c r="V247" s="461">
        <v>0</v>
      </c>
    </row>
    <row r="248" spans="1:22" s="455" customFormat="1" hidden="1">
      <c r="A248" s="455" t="str">
        <f t="shared" si="6"/>
        <v>11139152020171</v>
      </c>
      <c r="B248" s="455">
        <f>VLOOKUP(LEFT($C$3:$C$2600,3),Table!$D$2:$E$88,2,FALSE)</f>
        <v>0</v>
      </c>
      <c r="C248" s="455" t="str">
        <f t="shared" si="7"/>
        <v>9152020171</v>
      </c>
      <c r="D248" s="455" t="e">
        <f>VLOOKUP(G248,Table!$G$3:$H$21,2,FALSE)</f>
        <v>#N/A</v>
      </c>
      <c r="E248" s="452" t="s">
        <v>902</v>
      </c>
      <c r="F248" s="452" t="s">
        <v>1121</v>
      </c>
      <c r="G248" s="452" t="s">
        <v>1178</v>
      </c>
      <c r="H248" s="452" t="s">
        <v>2535</v>
      </c>
      <c r="I248" s="453" t="s">
        <v>844</v>
      </c>
      <c r="J248" s="453">
        <v>6037</v>
      </c>
      <c r="K248" s="461">
        <v>5259</v>
      </c>
      <c r="L248" s="461">
        <v>778</v>
      </c>
      <c r="M248" s="461">
        <v>4800</v>
      </c>
      <c r="N248" s="461">
        <v>0</v>
      </c>
      <c r="O248" s="461">
        <v>0</v>
      </c>
      <c r="P248" s="461">
        <v>0</v>
      </c>
      <c r="Q248" s="461">
        <v>0</v>
      </c>
      <c r="R248" s="461">
        <v>0</v>
      </c>
      <c r="S248" s="461">
        <v>0</v>
      </c>
      <c r="T248" s="461">
        <v>0</v>
      </c>
      <c r="U248" s="461">
        <v>0</v>
      </c>
      <c r="V248" s="461">
        <v>0</v>
      </c>
    </row>
    <row r="249" spans="1:22" s="455" customFormat="1" hidden="1">
      <c r="A249" s="455" t="str">
        <f t="shared" si="6"/>
        <v>11139152060111</v>
      </c>
      <c r="B249" s="455">
        <f>VLOOKUP(LEFT($C$3:$C$2600,3),Table!$D$2:$E$88,2,FALSE)</f>
        <v>0</v>
      </c>
      <c r="C249" s="455" t="str">
        <f t="shared" si="7"/>
        <v>9152060111</v>
      </c>
      <c r="D249" s="455" t="e">
        <f>VLOOKUP(G249,Table!$G$3:$H$21,2,FALSE)</f>
        <v>#N/A</v>
      </c>
      <c r="E249" s="452" t="s">
        <v>902</v>
      </c>
      <c r="F249" s="452" t="s">
        <v>1121</v>
      </c>
      <c r="G249" s="452" t="s">
        <v>1099</v>
      </c>
      <c r="H249" s="452" t="s">
        <v>1100</v>
      </c>
      <c r="I249" s="453" t="s">
        <v>844</v>
      </c>
      <c r="J249" s="453">
        <v>24453.29</v>
      </c>
      <c r="K249" s="461">
        <v>1945</v>
      </c>
      <c r="L249" s="461">
        <v>7642</v>
      </c>
      <c r="M249" s="461">
        <v>13583.14</v>
      </c>
      <c r="N249" s="461">
        <v>0</v>
      </c>
      <c r="O249" s="461">
        <v>0</v>
      </c>
      <c r="P249" s="461">
        <v>0</v>
      </c>
      <c r="Q249" s="461">
        <v>0</v>
      </c>
      <c r="R249" s="461">
        <v>0</v>
      </c>
      <c r="S249" s="461">
        <v>0</v>
      </c>
      <c r="T249" s="461">
        <v>0</v>
      </c>
      <c r="U249" s="461">
        <v>0</v>
      </c>
      <c r="V249" s="461">
        <v>0</v>
      </c>
    </row>
    <row r="250" spans="1:22" s="455" customFormat="1" hidden="1">
      <c r="A250" s="455" t="str">
        <f t="shared" si="6"/>
        <v>11139152060121</v>
      </c>
      <c r="B250" s="455">
        <f>VLOOKUP(LEFT($C$3:$C$2600,3),Table!$D$2:$E$88,2,FALSE)</f>
        <v>0</v>
      </c>
      <c r="C250" s="455" t="str">
        <f t="shared" si="7"/>
        <v>9152060121</v>
      </c>
      <c r="D250" s="455" t="e">
        <f>VLOOKUP(G250,Table!$G$3:$H$21,2,FALSE)</f>
        <v>#N/A</v>
      </c>
      <c r="E250" s="452" t="s">
        <v>902</v>
      </c>
      <c r="F250" s="452" t="s">
        <v>1121</v>
      </c>
      <c r="G250" s="452" t="s">
        <v>1101</v>
      </c>
      <c r="H250" s="452" t="s">
        <v>1102</v>
      </c>
      <c r="I250" s="453" t="s">
        <v>844</v>
      </c>
      <c r="J250" s="453">
        <v>7820</v>
      </c>
      <c r="K250" s="461">
        <v>1950</v>
      </c>
      <c r="L250" s="461">
        <v>12350</v>
      </c>
      <c r="M250" s="461">
        <v>1300</v>
      </c>
      <c r="N250" s="461">
        <v>0</v>
      </c>
      <c r="O250" s="461">
        <v>0</v>
      </c>
      <c r="P250" s="461">
        <v>0</v>
      </c>
      <c r="Q250" s="461">
        <v>0</v>
      </c>
      <c r="R250" s="461">
        <v>0</v>
      </c>
      <c r="S250" s="461">
        <v>0</v>
      </c>
      <c r="T250" s="461">
        <v>0</v>
      </c>
      <c r="U250" s="461">
        <v>0</v>
      </c>
      <c r="V250" s="461">
        <v>0</v>
      </c>
    </row>
    <row r="251" spans="1:22" s="455" customFormat="1" hidden="1">
      <c r="A251" s="455" t="str">
        <f t="shared" si="6"/>
        <v>11139152060311</v>
      </c>
      <c r="B251" s="455">
        <f>VLOOKUP(LEFT($C$3:$C$2600,3),Table!$D$2:$E$88,2,FALSE)</f>
        <v>0</v>
      </c>
      <c r="C251" s="455" t="str">
        <f t="shared" si="7"/>
        <v>9152060311</v>
      </c>
      <c r="D251" s="455" t="e">
        <f>VLOOKUP(G251,Table!$G$3:$H$21,2,FALSE)</f>
        <v>#N/A</v>
      </c>
      <c r="E251" s="452" t="s">
        <v>902</v>
      </c>
      <c r="F251" s="452" t="s">
        <v>1121</v>
      </c>
      <c r="G251" s="452" t="s">
        <v>1105</v>
      </c>
      <c r="H251" s="452" t="s">
        <v>1106</v>
      </c>
      <c r="I251" s="453" t="s">
        <v>844</v>
      </c>
      <c r="J251" s="453">
        <v>46182.1</v>
      </c>
      <c r="K251" s="461">
        <v>12996</v>
      </c>
      <c r="L251" s="461">
        <v>17627.5</v>
      </c>
      <c r="M251" s="461">
        <v>16413.599999999999</v>
      </c>
      <c r="N251" s="461">
        <v>0</v>
      </c>
      <c r="O251" s="461">
        <v>0</v>
      </c>
      <c r="P251" s="461">
        <v>0</v>
      </c>
      <c r="Q251" s="461">
        <v>0</v>
      </c>
      <c r="R251" s="461">
        <v>0</v>
      </c>
      <c r="S251" s="461">
        <v>0</v>
      </c>
      <c r="T251" s="461">
        <v>0</v>
      </c>
      <c r="U251" s="461">
        <v>0</v>
      </c>
      <c r="V251" s="461">
        <v>0</v>
      </c>
    </row>
    <row r="252" spans="1:22" s="455" customFormat="1" hidden="1">
      <c r="A252" s="455" t="str">
        <f t="shared" si="6"/>
        <v>11139152060321</v>
      </c>
      <c r="B252" s="455">
        <f>VLOOKUP(LEFT($C$3:$C$2600,3),Table!$D$2:$E$88,2,FALSE)</f>
        <v>0</v>
      </c>
      <c r="C252" s="455" t="str">
        <f t="shared" si="7"/>
        <v>9152060321</v>
      </c>
      <c r="D252" s="455" t="e">
        <f>VLOOKUP(G252,Table!$G$3:$H$21,2,FALSE)</f>
        <v>#N/A</v>
      </c>
      <c r="E252" s="452" t="s">
        <v>902</v>
      </c>
      <c r="F252" s="452" t="s">
        <v>1121</v>
      </c>
      <c r="G252" s="452" t="s">
        <v>1107</v>
      </c>
      <c r="H252" s="452" t="s">
        <v>1108</v>
      </c>
      <c r="I252" s="453" t="s">
        <v>844</v>
      </c>
      <c r="J252" s="453">
        <v>28072.6</v>
      </c>
      <c r="K252" s="461">
        <v>7690.9</v>
      </c>
      <c r="L252" s="461">
        <v>24935.599999999999</v>
      </c>
      <c r="M252" s="461">
        <v>8446.1</v>
      </c>
      <c r="N252" s="461">
        <v>0</v>
      </c>
      <c r="O252" s="461">
        <v>0</v>
      </c>
      <c r="P252" s="461">
        <v>0</v>
      </c>
      <c r="Q252" s="461">
        <v>0</v>
      </c>
      <c r="R252" s="461">
        <v>0</v>
      </c>
      <c r="S252" s="461">
        <v>0</v>
      </c>
      <c r="T252" s="461">
        <v>0</v>
      </c>
      <c r="U252" s="461">
        <v>0</v>
      </c>
      <c r="V252" s="461">
        <v>0</v>
      </c>
    </row>
    <row r="253" spans="1:22" s="455" customFormat="1" hidden="1">
      <c r="A253" s="455" t="str">
        <f t="shared" si="6"/>
        <v>11139152060411</v>
      </c>
      <c r="B253" s="455">
        <f>VLOOKUP(LEFT($C$3:$C$2600,3),Table!$D$2:$E$88,2,FALSE)</f>
        <v>0</v>
      </c>
      <c r="C253" s="455" t="str">
        <f t="shared" si="7"/>
        <v>9152060411</v>
      </c>
      <c r="D253" s="455" t="e">
        <f>VLOOKUP(G253,Table!$G$3:$H$21,2,FALSE)</f>
        <v>#N/A</v>
      </c>
      <c r="E253" s="452" t="s">
        <v>902</v>
      </c>
      <c r="F253" s="452" t="s">
        <v>1121</v>
      </c>
      <c r="G253" s="452" t="s">
        <v>1109</v>
      </c>
      <c r="H253" s="452" t="s">
        <v>1110</v>
      </c>
      <c r="I253" s="453" t="s">
        <v>844</v>
      </c>
      <c r="J253" s="453">
        <v>20209.48</v>
      </c>
      <c r="K253" s="461">
        <v>202.28</v>
      </c>
      <c r="L253" s="461">
        <v>10878</v>
      </c>
      <c r="M253" s="461">
        <v>9129.2000000000007</v>
      </c>
      <c r="N253" s="461">
        <v>0</v>
      </c>
      <c r="O253" s="461">
        <v>0</v>
      </c>
      <c r="P253" s="461">
        <v>0</v>
      </c>
      <c r="Q253" s="461">
        <v>0</v>
      </c>
      <c r="R253" s="461">
        <v>0</v>
      </c>
      <c r="S253" s="461">
        <v>0</v>
      </c>
      <c r="T253" s="461">
        <v>0</v>
      </c>
      <c r="U253" s="461">
        <v>0</v>
      </c>
      <c r="V253" s="461">
        <v>0</v>
      </c>
    </row>
    <row r="254" spans="1:22" s="455" customFormat="1" hidden="1">
      <c r="A254" s="455" t="str">
        <f t="shared" si="6"/>
        <v>11139152060421</v>
      </c>
      <c r="B254" s="455">
        <f>VLOOKUP(LEFT($C$3:$C$2600,3),Table!$D$2:$E$88,2,FALSE)</f>
        <v>0</v>
      </c>
      <c r="C254" s="455" t="str">
        <f t="shared" si="7"/>
        <v>9152060421</v>
      </c>
      <c r="D254" s="455" t="e">
        <f>VLOOKUP(G254,Table!$G$3:$H$21,2,FALSE)</f>
        <v>#N/A</v>
      </c>
      <c r="E254" s="452" t="s">
        <v>902</v>
      </c>
      <c r="F254" s="452" t="s">
        <v>1121</v>
      </c>
      <c r="G254" s="452" t="s">
        <v>1111</v>
      </c>
      <c r="H254" s="452" t="s">
        <v>1112</v>
      </c>
      <c r="I254" s="453" t="s">
        <v>844</v>
      </c>
      <c r="J254" s="453">
        <v>5065.3</v>
      </c>
      <c r="K254" s="461">
        <v>-3600</v>
      </c>
      <c r="L254" s="461">
        <v>1196.7</v>
      </c>
      <c r="M254" s="461">
        <v>7468.6</v>
      </c>
      <c r="N254" s="461">
        <v>0</v>
      </c>
      <c r="O254" s="461">
        <v>0</v>
      </c>
      <c r="P254" s="461">
        <v>0</v>
      </c>
      <c r="Q254" s="461">
        <v>0</v>
      </c>
      <c r="R254" s="461">
        <v>0</v>
      </c>
      <c r="S254" s="461">
        <v>0</v>
      </c>
      <c r="T254" s="461">
        <v>0</v>
      </c>
      <c r="U254" s="461">
        <v>0</v>
      </c>
      <c r="V254" s="461">
        <v>0</v>
      </c>
    </row>
    <row r="255" spans="1:22" s="455" customFormat="1" hidden="1">
      <c r="A255" s="455" t="str">
        <f t="shared" si="6"/>
        <v>11139152091000</v>
      </c>
      <c r="B255" s="455">
        <f>VLOOKUP(LEFT($C$3:$C$2600,3),Table!$D$2:$E$88,2,FALSE)</f>
        <v>0</v>
      </c>
      <c r="C255" s="455" t="str">
        <f t="shared" si="7"/>
        <v>9152091000</v>
      </c>
      <c r="D255" s="455" t="e">
        <f>VLOOKUP(G255,Table!$G$3:$H$21,2,FALSE)</f>
        <v>#N/A</v>
      </c>
      <c r="E255" s="452" t="s">
        <v>902</v>
      </c>
      <c r="F255" s="452" t="s">
        <v>1121</v>
      </c>
      <c r="G255" s="452" t="s">
        <v>1113</v>
      </c>
      <c r="H255" s="452" t="s">
        <v>1114</v>
      </c>
      <c r="I255" s="453" t="s">
        <v>844</v>
      </c>
      <c r="J255" s="453">
        <v>7348.1</v>
      </c>
      <c r="K255" s="461">
        <v>0</v>
      </c>
      <c r="L255" s="461">
        <v>0</v>
      </c>
      <c r="M255" s="461">
        <v>7348.1</v>
      </c>
      <c r="N255" s="461">
        <v>0</v>
      </c>
      <c r="O255" s="461">
        <v>0</v>
      </c>
      <c r="P255" s="461">
        <v>0</v>
      </c>
      <c r="Q255" s="461">
        <v>0</v>
      </c>
      <c r="R255" s="461">
        <v>0</v>
      </c>
      <c r="S255" s="461">
        <v>0</v>
      </c>
      <c r="T255" s="461">
        <v>0</v>
      </c>
      <c r="U255" s="461">
        <v>0</v>
      </c>
      <c r="V255" s="461">
        <v>0</v>
      </c>
    </row>
    <row r="256" spans="1:22" s="455" customFormat="1" hidden="1">
      <c r="A256" s="455" t="str">
        <f t="shared" si="6"/>
        <v>11139152402526</v>
      </c>
      <c r="B256" s="455">
        <f>VLOOKUP(LEFT($C$3:$C$2600,3),Table!$D$2:$E$88,2,FALSE)</f>
        <v>0</v>
      </c>
      <c r="C256" s="455" t="str">
        <f t="shared" si="7"/>
        <v>9152402526</v>
      </c>
      <c r="D256" s="455" t="e">
        <f>VLOOKUP(G256,Table!$G$3:$H$21,2,FALSE)</f>
        <v>#N/A</v>
      </c>
      <c r="E256" s="452" t="s">
        <v>902</v>
      </c>
      <c r="F256" s="452" t="s">
        <v>1121</v>
      </c>
      <c r="G256" s="452" t="s">
        <v>1126</v>
      </c>
      <c r="H256" s="452" t="s">
        <v>1127</v>
      </c>
      <c r="I256" s="453" t="s">
        <v>844</v>
      </c>
      <c r="J256" s="453">
        <v>10660</v>
      </c>
      <c r="K256" s="461">
        <v>3400</v>
      </c>
      <c r="L256" s="461">
        <v>3400</v>
      </c>
      <c r="M256" s="461">
        <v>230</v>
      </c>
      <c r="N256" s="461">
        <v>0</v>
      </c>
      <c r="O256" s="461">
        <v>0</v>
      </c>
      <c r="P256" s="461">
        <v>0</v>
      </c>
      <c r="Q256" s="461">
        <v>0</v>
      </c>
      <c r="R256" s="461">
        <v>0</v>
      </c>
      <c r="S256" s="461">
        <v>0</v>
      </c>
      <c r="T256" s="461">
        <v>0</v>
      </c>
      <c r="U256" s="461">
        <v>0</v>
      </c>
      <c r="V256" s="461">
        <v>0</v>
      </c>
    </row>
    <row r="257" spans="1:22" s="455" customFormat="1" hidden="1">
      <c r="A257" s="455" t="str">
        <f t="shared" si="6"/>
        <v>11139153001000</v>
      </c>
      <c r="B257" s="455">
        <f>VLOOKUP(LEFT($C$3:$C$2600,3),Table!$D$2:$E$88,2,FALSE)</f>
        <v>0</v>
      </c>
      <c r="C257" s="455" t="str">
        <f t="shared" si="7"/>
        <v>9153001000</v>
      </c>
      <c r="D257" s="455" t="e">
        <f>VLOOKUP(G257,Table!$G$3:$H$21,2,FALSE)</f>
        <v>#N/A</v>
      </c>
      <c r="E257" s="452" t="s">
        <v>902</v>
      </c>
      <c r="F257" s="452" t="s">
        <v>1121</v>
      </c>
      <c r="G257" s="452" t="s">
        <v>1043</v>
      </c>
      <c r="H257" s="452" t="s">
        <v>1044</v>
      </c>
      <c r="I257" s="453" t="s">
        <v>844</v>
      </c>
      <c r="J257" s="453">
        <v>339315</v>
      </c>
      <c r="K257" s="461">
        <v>113105</v>
      </c>
      <c r="L257" s="461">
        <v>113105</v>
      </c>
      <c r="M257" s="461">
        <v>113105</v>
      </c>
      <c r="N257" s="461">
        <v>0</v>
      </c>
      <c r="O257" s="461">
        <v>0</v>
      </c>
      <c r="P257" s="461">
        <v>0</v>
      </c>
      <c r="Q257" s="461">
        <v>0</v>
      </c>
      <c r="R257" s="461">
        <v>0</v>
      </c>
      <c r="S257" s="461">
        <v>0</v>
      </c>
      <c r="T257" s="461">
        <v>0</v>
      </c>
      <c r="U257" s="461">
        <v>0</v>
      </c>
      <c r="V257" s="461">
        <v>0</v>
      </c>
    </row>
    <row r="258" spans="1:22" s="455" customFormat="1" hidden="1">
      <c r="A258" s="455" t="str">
        <f t="shared" si="6"/>
        <v>11189151001000</v>
      </c>
      <c r="B258" s="455">
        <f>VLOOKUP(LEFT($C$3:$C$2600,3),Table!$D$2:$E$88,2,FALSE)</f>
        <v>0</v>
      </c>
      <c r="C258" s="455" t="str">
        <f t="shared" si="7"/>
        <v>9151001000</v>
      </c>
      <c r="D258" s="455" t="e">
        <f>VLOOKUP(G258,Table!$G$3:$H$21,2,FALSE)</f>
        <v>#N/A</v>
      </c>
      <c r="E258" s="452" t="s">
        <v>902</v>
      </c>
      <c r="F258" s="452" t="s">
        <v>1128</v>
      </c>
      <c r="G258" s="452" t="s">
        <v>1129</v>
      </c>
      <c r="H258" s="452" t="s">
        <v>994</v>
      </c>
      <c r="I258" s="453" t="s">
        <v>844</v>
      </c>
      <c r="J258" s="453">
        <v>5313</v>
      </c>
      <c r="K258" s="461">
        <v>1771</v>
      </c>
      <c r="L258" s="461">
        <v>1771</v>
      </c>
      <c r="M258" s="461">
        <v>1771</v>
      </c>
      <c r="N258" s="461">
        <v>0</v>
      </c>
      <c r="O258" s="461">
        <v>0</v>
      </c>
      <c r="P258" s="461">
        <v>0</v>
      </c>
      <c r="Q258" s="461">
        <v>0</v>
      </c>
      <c r="R258" s="461">
        <v>0</v>
      </c>
      <c r="S258" s="461">
        <v>0</v>
      </c>
      <c r="T258" s="461">
        <v>0</v>
      </c>
      <c r="U258" s="461">
        <v>0</v>
      </c>
      <c r="V258" s="461">
        <v>0</v>
      </c>
    </row>
    <row r="259" spans="1:22" s="455" customFormat="1" hidden="1">
      <c r="A259" s="455" t="str">
        <f t="shared" si="6"/>
        <v>11189151001100</v>
      </c>
      <c r="B259" s="455">
        <f>VLOOKUP(LEFT($C$3:$C$2600,3),Table!$D$2:$E$88,2,FALSE)</f>
        <v>0</v>
      </c>
      <c r="C259" s="455" t="str">
        <f t="shared" si="7"/>
        <v>9151001100</v>
      </c>
      <c r="D259" s="455" t="e">
        <f>VLOOKUP(G259,Table!$G$3:$H$21,2,FALSE)</f>
        <v>#N/A</v>
      </c>
      <c r="E259" s="452" t="s">
        <v>902</v>
      </c>
      <c r="F259" s="452" t="s">
        <v>1128</v>
      </c>
      <c r="G259" s="452" t="s">
        <v>1130</v>
      </c>
      <c r="H259" s="452" t="s">
        <v>1131</v>
      </c>
      <c r="I259" s="453" t="s">
        <v>844</v>
      </c>
      <c r="J259" s="453">
        <v>4980.49</v>
      </c>
      <c r="K259" s="461">
        <v>1741.84</v>
      </c>
      <c r="L259" s="461">
        <v>1922.92</v>
      </c>
      <c r="M259" s="461">
        <v>1574.14</v>
      </c>
      <c r="N259" s="461">
        <v>0</v>
      </c>
      <c r="O259" s="461">
        <v>0</v>
      </c>
      <c r="P259" s="461">
        <v>0</v>
      </c>
      <c r="Q259" s="461">
        <v>0</v>
      </c>
      <c r="R259" s="461">
        <v>0</v>
      </c>
      <c r="S259" s="461">
        <v>0</v>
      </c>
      <c r="T259" s="461">
        <v>0</v>
      </c>
      <c r="U259" s="461">
        <v>0</v>
      </c>
      <c r="V259" s="461">
        <v>0</v>
      </c>
    </row>
    <row r="260" spans="1:22" s="455" customFormat="1" hidden="1">
      <c r="A260" s="455" t="str">
        <f t="shared" ref="A260:A323" si="8">F260&amp;G260</f>
        <v>11189151001200</v>
      </c>
      <c r="B260" s="455">
        <f>VLOOKUP(LEFT($C$3:$C$2600,3),Table!$D$2:$E$88,2,FALSE)</f>
        <v>0</v>
      </c>
      <c r="C260" s="455" t="str">
        <f t="shared" ref="C260:C323" si="9">IF(ISNA(D260),G260,D260)</f>
        <v>9151001200</v>
      </c>
      <c r="D260" s="455" t="e">
        <f>VLOOKUP(G260,Table!$G$3:$H$21,2,FALSE)</f>
        <v>#N/A</v>
      </c>
      <c r="E260" s="452" t="s">
        <v>902</v>
      </c>
      <c r="F260" s="452" t="s">
        <v>1128</v>
      </c>
      <c r="G260" s="452" t="s">
        <v>1132</v>
      </c>
      <c r="H260" s="452" t="s">
        <v>996</v>
      </c>
      <c r="I260" s="453" t="s">
        <v>844</v>
      </c>
      <c r="J260" s="453">
        <v>337.2</v>
      </c>
      <c r="K260" s="461">
        <v>112.4</v>
      </c>
      <c r="L260" s="461">
        <v>112.4</v>
      </c>
      <c r="M260" s="461">
        <v>112.4</v>
      </c>
      <c r="N260" s="461">
        <v>0</v>
      </c>
      <c r="O260" s="461">
        <v>0</v>
      </c>
      <c r="P260" s="461">
        <v>0</v>
      </c>
      <c r="Q260" s="461">
        <v>0</v>
      </c>
      <c r="R260" s="461">
        <v>0</v>
      </c>
      <c r="S260" s="461">
        <v>0</v>
      </c>
      <c r="T260" s="461">
        <v>0</v>
      </c>
      <c r="U260" s="461">
        <v>0</v>
      </c>
      <c r="V260" s="461">
        <v>0</v>
      </c>
    </row>
    <row r="261" spans="1:22" s="455" customFormat="1" hidden="1">
      <c r="A261" s="455" t="str">
        <f t="shared" si="8"/>
        <v>11189151001400</v>
      </c>
      <c r="B261" s="455">
        <f>VLOOKUP(LEFT($C$3:$C$2600,3),Table!$D$2:$E$88,2,FALSE)</f>
        <v>0</v>
      </c>
      <c r="C261" s="455" t="str">
        <f t="shared" si="9"/>
        <v>9151001400</v>
      </c>
      <c r="D261" s="455" t="e">
        <f>VLOOKUP(G261,Table!$G$3:$H$21,2,FALSE)</f>
        <v>#N/A</v>
      </c>
      <c r="E261" s="452" t="s">
        <v>902</v>
      </c>
      <c r="F261" s="452" t="s">
        <v>1128</v>
      </c>
      <c r="G261" s="452" t="s">
        <v>1133</v>
      </c>
      <c r="H261" s="452" t="s">
        <v>998</v>
      </c>
      <c r="I261" s="453" t="s">
        <v>844</v>
      </c>
      <c r="J261" s="453">
        <v>872</v>
      </c>
      <c r="K261" s="461">
        <v>291</v>
      </c>
      <c r="L261" s="461">
        <v>291</v>
      </c>
      <c r="M261" s="461">
        <v>290</v>
      </c>
      <c r="N261" s="461">
        <v>0</v>
      </c>
      <c r="O261" s="461">
        <v>0</v>
      </c>
      <c r="P261" s="461">
        <v>0</v>
      </c>
      <c r="Q261" s="461">
        <v>0</v>
      </c>
      <c r="R261" s="461">
        <v>0</v>
      </c>
      <c r="S261" s="461">
        <v>0</v>
      </c>
      <c r="T261" s="461">
        <v>0</v>
      </c>
      <c r="U261" s="461">
        <v>0</v>
      </c>
      <c r="V261" s="461">
        <v>0</v>
      </c>
    </row>
    <row r="262" spans="1:22" s="455" customFormat="1" hidden="1">
      <c r="A262" s="455" t="str">
        <f t="shared" si="8"/>
        <v>11189151001410</v>
      </c>
      <c r="B262" s="455">
        <f>VLOOKUP(LEFT($C$3:$C$2600,3),Table!$D$2:$E$88,2,FALSE)</f>
        <v>0</v>
      </c>
      <c r="C262" s="455" t="str">
        <f t="shared" si="9"/>
        <v>9151001410</v>
      </c>
      <c r="D262" s="455" t="e">
        <f>VLOOKUP(G262,Table!$G$3:$H$21,2,FALSE)</f>
        <v>#N/A</v>
      </c>
      <c r="E262" s="452" t="s">
        <v>902</v>
      </c>
      <c r="F262" s="452" t="s">
        <v>1128</v>
      </c>
      <c r="G262" s="452" t="s">
        <v>1134</v>
      </c>
      <c r="H262" s="452" t="s">
        <v>1078</v>
      </c>
      <c r="I262" s="453" t="s">
        <v>844</v>
      </c>
      <c r="J262" s="453">
        <v>45</v>
      </c>
      <c r="K262" s="461">
        <v>15</v>
      </c>
      <c r="L262" s="461">
        <v>15</v>
      </c>
      <c r="M262" s="461">
        <v>15</v>
      </c>
      <c r="N262" s="461">
        <v>0</v>
      </c>
      <c r="O262" s="461">
        <v>0</v>
      </c>
      <c r="P262" s="461">
        <v>0</v>
      </c>
      <c r="Q262" s="461">
        <v>0</v>
      </c>
      <c r="R262" s="461">
        <v>0</v>
      </c>
      <c r="S262" s="461">
        <v>0</v>
      </c>
      <c r="T262" s="461">
        <v>0</v>
      </c>
      <c r="U262" s="461">
        <v>0</v>
      </c>
      <c r="V262" s="461">
        <v>0</v>
      </c>
    </row>
    <row r="263" spans="1:22" s="455" customFormat="1" hidden="1">
      <c r="A263" s="455" t="str">
        <f t="shared" si="8"/>
        <v>11189151001500</v>
      </c>
      <c r="B263" s="455">
        <f>VLOOKUP(LEFT($C$3:$C$2600,3),Table!$D$2:$E$88,2,FALSE)</f>
        <v>0</v>
      </c>
      <c r="C263" s="455" t="str">
        <f t="shared" si="9"/>
        <v>9151001500</v>
      </c>
      <c r="D263" s="455" t="e">
        <f>VLOOKUP(G263,Table!$G$3:$H$21,2,FALSE)</f>
        <v>#N/A</v>
      </c>
      <c r="E263" s="452" t="s">
        <v>902</v>
      </c>
      <c r="F263" s="452" t="s">
        <v>1128</v>
      </c>
      <c r="G263" s="452" t="s">
        <v>1135</v>
      </c>
      <c r="H263" s="452" t="s">
        <v>1136</v>
      </c>
      <c r="I263" s="453" t="s">
        <v>844</v>
      </c>
      <c r="J263" s="453">
        <v>154.94999999999999</v>
      </c>
      <c r="K263" s="461">
        <v>51.65</v>
      </c>
      <c r="L263" s="461">
        <v>51.65</v>
      </c>
      <c r="M263" s="461">
        <v>51.65</v>
      </c>
      <c r="N263" s="461">
        <v>0</v>
      </c>
      <c r="O263" s="461">
        <v>0</v>
      </c>
      <c r="P263" s="461">
        <v>0</v>
      </c>
      <c r="Q263" s="461">
        <v>0</v>
      </c>
      <c r="R263" s="461">
        <v>0</v>
      </c>
      <c r="S263" s="461">
        <v>0</v>
      </c>
      <c r="T263" s="461">
        <v>0</v>
      </c>
      <c r="U263" s="461">
        <v>0</v>
      </c>
      <c r="V263" s="461">
        <v>0</v>
      </c>
    </row>
    <row r="264" spans="1:22" s="455" customFormat="1" hidden="1">
      <c r="A264" s="455" t="str">
        <f t="shared" si="8"/>
        <v>11189151001600</v>
      </c>
      <c r="B264" s="455">
        <f>VLOOKUP(LEFT($C$3:$C$2600,3),Table!$D$2:$E$88,2,FALSE)</f>
        <v>0</v>
      </c>
      <c r="C264" s="455" t="str">
        <f t="shared" si="9"/>
        <v>9151001600</v>
      </c>
      <c r="D264" s="455" t="e">
        <f>VLOOKUP(G264,Table!$G$3:$H$21,2,FALSE)</f>
        <v>#N/A</v>
      </c>
      <c r="E264" s="452" t="s">
        <v>902</v>
      </c>
      <c r="F264" s="452" t="s">
        <v>1128</v>
      </c>
      <c r="G264" s="452" t="s">
        <v>1137</v>
      </c>
      <c r="H264" s="452" t="s">
        <v>1002</v>
      </c>
      <c r="I264" s="453" t="s">
        <v>844</v>
      </c>
      <c r="J264" s="453">
        <v>1212.21</v>
      </c>
      <c r="K264" s="461">
        <v>404.07</v>
      </c>
      <c r="L264" s="461">
        <v>404.07</v>
      </c>
      <c r="M264" s="461">
        <v>404.07</v>
      </c>
      <c r="N264" s="461">
        <v>0</v>
      </c>
      <c r="O264" s="461">
        <v>0</v>
      </c>
      <c r="P264" s="461">
        <v>0</v>
      </c>
      <c r="Q264" s="461">
        <v>0</v>
      </c>
      <c r="R264" s="461">
        <v>0</v>
      </c>
      <c r="S264" s="461">
        <v>0</v>
      </c>
      <c r="T264" s="461">
        <v>0</v>
      </c>
      <c r="U264" s="461">
        <v>0</v>
      </c>
      <c r="V264" s="461">
        <v>0</v>
      </c>
    </row>
    <row r="265" spans="1:22" s="455" customFormat="1" hidden="1">
      <c r="A265" s="455" t="str">
        <f t="shared" si="8"/>
        <v>11189151001700</v>
      </c>
      <c r="B265" s="455">
        <f>VLOOKUP(LEFT($C$3:$C$2600,3),Table!$D$2:$E$88,2,FALSE)</f>
        <v>0</v>
      </c>
      <c r="C265" s="455" t="str">
        <f t="shared" si="9"/>
        <v>9151001700</v>
      </c>
      <c r="D265" s="455" t="e">
        <f>VLOOKUP(G265,Table!$G$3:$H$21,2,FALSE)</f>
        <v>#N/A</v>
      </c>
      <c r="E265" s="452" t="s">
        <v>902</v>
      </c>
      <c r="F265" s="452" t="s">
        <v>1128</v>
      </c>
      <c r="G265" s="452" t="s">
        <v>1138</v>
      </c>
      <c r="H265" s="452" t="s">
        <v>1003</v>
      </c>
      <c r="I265" s="453" t="s">
        <v>844</v>
      </c>
      <c r="J265" s="453">
        <v>-2352.4499999999998</v>
      </c>
      <c r="K265" s="461">
        <v>-157.22999999999999</v>
      </c>
      <c r="L265" s="461">
        <v>77.12</v>
      </c>
      <c r="M265" s="461">
        <v>-77.12</v>
      </c>
      <c r="N265" s="461">
        <v>0</v>
      </c>
      <c r="O265" s="461">
        <v>0</v>
      </c>
      <c r="P265" s="461">
        <v>0</v>
      </c>
      <c r="Q265" s="461">
        <v>0</v>
      </c>
      <c r="R265" s="461">
        <v>0</v>
      </c>
      <c r="S265" s="461">
        <v>0</v>
      </c>
      <c r="T265" s="461">
        <v>0</v>
      </c>
      <c r="U265" s="461">
        <v>0</v>
      </c>
      <c r="V265" s="461">
        <v>0</v>
      </c>
    </row>
    <row r="266" spans="1:22" s="455" customFormat="1" hidden="1">
      <c r="A266" s="455" t="str">
        <f t="shared" si="8"/>
        <v>11189151001800</v>
      </c>
      <c r="B266" s="455">
        <f>VLOOKUP(LEFT($C$3:$C$2600,3),Table!$D$2:$E$88,2,FALSE)</f>
        <v>0</v>
      </c>
      <c r="C266" s="455" t="str">
        <f t="shared" si="9"/>
        <v>9151001800</v>
      </c>
      <c r="D266" s="455" t="e">
        <f>VLOOKUP(G266,Table!$G$3:$H$21,2,FALSE)</f>
        <v>#N/A</v>
      </c>
      <c r="E266" s="452" t="s">
        <v>902</v>
      </c>
      <c r="F266" s="452" t="s">
        <v>1128</v>
      </c>
      <c r="G266" s="452" t="s">
        <v>1139</v>
      </c>
      <c r="H266" s="452" t="s">
        <v>1005</v>
      </c>
      <c r="I266" s="453" t="s">
        <v>844</v>
      </c>
      <c r="J266" s="453">
        <v>647.4</v>
      </c>
      <c r="K266" s="461">
        <v>216.8</v>
      </c>
      <c r="L266" s="461">
        <v>216.8</v>
      </c>
      <c r="M266" s="461">
        <v>213.8</v>
      </c>
      <c r="N266" s="461">
        <v>0</v>
      </c>
      <c r="O266" s="461">
        <v>0</v>
      </c>
      <c r="P266" s="461">
        <v>0</v>
      </c>
      <c r="Q266" s="461">
        <v>0</v>
      </c>
      <c r="R266" s="461">
        <v>0</v>
      </c>
      <c r="S266" s="461">
        <v>0</v>
      </c>
      <c r="T266" s="461">
        <v>0</v>
      </c>
      <c r="U266" s="461">
        <v>0</v>
      </c>
      <c r="V266" s="461">
        <v>0</v>
      </c>
    </row>
    <row r="267" spans="1:22" s="455" customFormat="1" hidden="1">
      <c r="A267" s="455" t="str">
        <f t="shared" si="8"/>
        <v>11189151001900</v>
      </c>
      <c r="B267" s="455">
        <f>VLOOKUP(LEFT($C$3:$C$2600,3),Table!$D$2:$E$88,2,FALSE)</f>
        <v>0</v>
      </c>
      <c r="C267" s="455" t="str">
        <f t="shared" si="9"/>
        <v>9151001900</v>
      </c>
      <c r="D267" s="455" t="e">
        <f>VLOOKUP(G267,Table!$G$3:$H$21,2,FALSE)</f>
        <v>#N/A</v>
      </c>
      <c r="E267" s="452" t="s">
        <v>902</v>
      </c>
      <c r="F267" s="452" t="s">
        <v>1128</v>
      </c>
      <c r="G267" s="452" t="s">
        <v>1140</v>
      </c>
      <c r="H267" s="452" t="s">
        <v>1007</v>
      </c>
      <c r="I267" s="453" t="s">
        <v>844</v>
      </c>
      <c r="J267" s="453">
        <v>56.49</v>
      </c>
      <c r="K267" s="461">
        <v>18.829999999999998</v>
      </c>
      <c r="L267" s="461">
        <v>18.829999999999998</v>
      </c>
      <c r="M267" s="461">
        <v>18.829999999999998</v>
      </c>
      <c r="N267" s="461">
        <v>0</v>
      </c>
      <c r="O267" s="461">
        <v>0</v>
      </c>
      <c r="P267" s="461">
        <v>0</v>
      </c>
      <c r="Q267" s="461">
        <v>0</v>
      </c>
      <c r="R267" s="461">
        <v>0</v>
      </c>
      <c r="S267" s="461">
        <v>0</v>
      </c>
      <c r="T267" s="461">
        <v>0</v>
      </c>
      <c r="U267" s="461">
        <v>0</v>
      </c>
      <c r="V267" s="461">
        <v>0</v>
      </c>
    </row>
    <row r="268" spans="1:22" s="455" customFormat="1" hidden="1">
      <c r="A268" s="455" t="str">
        <f t="shared" si="8"/>
        <v>11189151101000</v>
      </c>
      <c r="B268" s="455">
        <f>VLOOKUP(LEFT($C$3:$C$2600,3),Table!$D$2:$E$88,2,FALSE)</f>
        <v>0</v>
      </c>
      <c r="C268" s="455" t="str">
        <f t="shared" si="9"/>
        <v>9151101000</v>
      </c>
      <c r="D268" s="455" t="e">
        <f>VLOOKUP(G268,Table!$G$3:$H$21,2,FALSE)</f>
        <v>#N/A</v>
      </c>
      <c r="E268" s="452" t="s">
        <v>902</v>
      </c>
      <c r="F268" s="452" t="s">
        <v>1128</v>
      </c>
      <c r="G268" s="452" t="s">
        <v>1141</v>
      </c>
      <c r="H268" s="452" t="s">
        <v>1068</v>
      </c>
      <c r="I268" s="453" t="s">
        <v>844</v>
      </c>
      <c r="J268" s="453">
        <v>11339.48</v>
      </c>
      <c r="K268" s="461">
        <v>4065.04</v>
      </c>
      <c r="L268" s="461">
        <v>3942.64</v>
      </c>
      <c r="M268" s="461">
        <v>3925.13</v>
      </c>
      <c r="N268" s="461">
        <v>0</v>
      </c>
      <c r="O268" s="461">
        <v>0</v>
      </c>
      <c r="P268" s="461">
        <v>0</v>
      </c>
      <c r="Q268" s="461">
        <v>0</v>
      </c>
      <c r="R268" s="461">
        <v>0</v>
      </c>
      <c r="S268" s="461">
        <v>0</v>
      </c>
      <c r="T268" s="461">
        <v>0</v>
      </c>
      <c r="U268" s="461">
        <v>0</v>
      </c>
      <c r="V268" s="461">
        <v>0</v>
      </c>
    </row>
    <row r="269" spans="1:22" s="455" customFormat="1" hidden="1">
      <c r="A269" s="455" t="str">
        <f t="shared" si="8"/>
        <v>11189151101100</v>
      </c>
      <c r="B269" s="455">
        <f>VLOOKUP(LEFT($C$3:$C$2600,3),Table!$D$2:$E$88,2,FALSE)</f>
        <v>0</v>
      </c>
      <c r="C269" s="455" t="str">
        <f t="shared" si="9"/>
        <v>9151101100</v>
      </c>
      <c r="D269" s="455" t="e">
        <f>VLOOKUP(G269,Table!$G$3:$H$21,2,FALSE)</f>
        <v>#N/A</v>
      </c>
      <c r="E269" s="452" t="s">
        <v>902</v>
      </c>
      <c r="F269" s="452" t="s">
        <v>1128</v>
      </c>
      <c r="G269" s="452" t="s">
        <v>1142</v>
      </c>
      <c r="H269" s="452" t="s">
        <v>1070</v>
      </c>
      <c r="I269" s="453" t="s">
        <v>844</v>
      </c>
      <c r="J269" s="453">
        <v>12035.88</v>
      </c>
      <c r="K269" s="461">
        <v>3504.45</v>
      </c>
      <c r="L269" s="461">
        <v>5189.37</v>
      </c>
      <c r="M269" s="461">
        <v>4088.79</v>
      </c>
      <c r="N269" s="461">
        <v>0</v>
      </c>
      <c r="O269" s="461">
        <v>0</v>
      </c>
      <c r="P269" s="461">
        <v>0</v>
      </c>
      <c r="Q269" s="461">
        <v>0</v>
      </c>
      <c r="R269" s="461">
        <v>0</v>
      </c>
      <c r="S269" s="461">
        <v>0</v>
      </c>
      <c r="T269" s="461">
        <v>0</v>
      </c>
      <c r="U269" s="461">
        <v>0</v>
      </c>
      <c r="V269" s="461">
        <v>0</v>
      </c>
    </row>
    <row r="270" spans="1:22" s="455" customFormat="1" hidden="1">
      <c r="A270" s="455" t="str">
        <f t="shared" si="8"/>
        <v>11189151101200</v>
      </c>
      <c r="B270" s="455">
        <f>VLOOKUP(LEFT($C$3:$C$2600,3),Table!$D$2:$E$88,2,FALSE)</f>
        <v>0</v>
      </c>
      <c r="C270" s="455" t="str">
        <f t="shared" si="9"/>
        <v>9151101200</v>
      </c>
      <c r="D270" s="455" t="e">
        <f>VLOOKUP(G270,Table!$G$3:$H$21,2,FALSE)</f>
        <v>#N/A</v>
      </c>
      <c r="E270" s="452" t="s">
        <v>902</v>
      </c>
      <c r="F270" s="452" t="s">
        <v>1128</v>
      </c>
      <c r="G270" s="452" t="s">
        <v>1143</v>
      </c>
      <c r="H270" s="452" t="s">
        <v>1072</v>
      </c>
      <c r="I270" s="453" t="s">
        <v>844</v>
      </c>
      <c r="J270" s="453">
        <v>1083</v>
      </c>
      <c r="K270" s="461">
        <v>363</v>
      </c>
      <c r="L270" s="461">
        <v>363</v>
      </c>
      <c r="M270" s="461">
        <v>357</v>
      </c>
      <c r="N270" s="461">
        <v>0</v>
      </c>
      <c r="O270" s="461">
        <v>0</v>
      </c>
      <c r="P270" s="461">
        <v>0</v>
      </c>
      <c r="Q270" s="461">
        <v>0</v>
      </c>
      <c r="R270" s="461">
        <v>0</v>
      </c>
      <c r="S270" s="461">
        <v>0</v>
      </c>
      <c r="T270" s="461">
        <v>0</v>
      </c>
      <c r="U270" s="461">
        <v>0</v>
      </c>
      <c r="V270" s="461">
        <v>0</v>
      </c>
    </row>
    <row r="271" spans="1:22" s="455" customFormat="1" hidden="1">
      <c r="A271" s="455" t="str">
        <f t="shared" si="8"/>
        <v>11189151101300</v>
      </c>
      <c r="B271" s="455">
        <f>VLOOKUP(LEFT($C$3:$C$2600,3),Table!$D$2:$E$88,2,FALSE)</f>
        <v>0</v>
      </c>
      <c r="C271" s="455" t="str">
        <f t="shared" si="9"/>
        <v>9151101300</v>
      </c>
      <c r="D271" s="455" t="e">
        <f>VLOOKUP(G271,Table!$G$3:$H$21,2,FALSE)</f>
        <v>#N/A</v>
      </c>
      <c r="E271" s="452" t="s">
        <v>902</v>
      </c>
      <c r="F271" s="452" t="s">
        <v>1128</v>
      </c>
      <c r="G271" s="452" t="s">
        <v>1144</v>
      </c>
      <c r="H271" s="452" t="s">
        <v>1074</v>
      </c>
      <c r="I271" s="453" t="s">
        <v>844</v>
      </c>
      <c r="J271" s="453">
        <v>88</v>
      </c>
      <c r="K271" s="461">
        <v>30</v>
      </c>
      <c r="L271" s="461">
        <v>30</v>
      </c>
      <c r="M271" s="461">
        <v>28</v>
      </c>
      <c r="N271" s="461">
        <v>0</v>
      </c>
      <c r="O271" s="461">
        <v>0</v>
      </c>
      <c r="P271" s="461">
        <v>0</v>
      </c>
      <c r="Q271" s="461">
        <v>0</v>
      </c>
      <c r="R271" s="461">
        <v>0</v>
      </c>
      <c r="S271" s="461">
        <v>0</v>
      </c>
      <c r="T271" s="461">
        <v>0</v>
      </c>
      <c r="U271" s="461">
        <v>0</v>
      </c>
      <c r="V271" s="461">
        <v>0</v>
      </c>
    </row>
    <row r="272" spans="1:22" s="455" customFormat="1" hidden="1">
      <c r="A272" s="455" t="str">
        <f t="shared" si="8"/>
        <v>11189151101400</v>
      </c>
      <c r="B272" s="455">
        <f>VLOOKUP(LEFT($C$3:$C$2600,3),Table!$D$2:$E$88,2,FALSE)</f>
        <v>0</v>
      </c>
      <c r="C272" s="455" t="str">
        <f t="shared" si="9"/>
        <v>9151101400</v>
      </c>
      <c r="D272" s="455" t="e">
        <f>VLOOKUP(G272,Table!$G$3:$H$21,2,FALSE)</f>
        <v>#N/A</v>
      </c>
      <c r="E272" s="452" t="s">
        <v>902</v>
      </c>
      <c r="F272" s="452" t="s">
        <v>1128</v>
      </c>
      <c r="G272" s="452" t="s">
        <v>1145</v>
      </c>
      <c r="H272" s="452" t="s">
        <v>1076</v>
      </c>
      <c r="I272" s="453" t="s">
        <v>844</v>
      </c>
      <c r="J272" s="453">
        <v>1619</v>
      </c>
      <c r="K272" s="461">
        <v>533</v>
      </c>
      <c r="L272" s="461">
        <v>533</v>
      </c>
      <c r="M272" s="461">
        <v>553</v>
      </c>
      <c r="N272" s="461">
        <v>0</v>
      </c>
      <c r="O272" s="461">
        <v>0</v>
      </c>
      <c r="P272" s="461">
        <v>0</v>
      </c>
      <c r="Q272" s="461">
        <v>0</v>
      </c>
      <c r="R272" s="461">
        <v>0</v>
      </c>
      <c r="S272" s="461">
        <v>0</v>
      </c>
      <c r="T272" s="461">
        <v>0</v>
      </c>
      <c r="U272" s="461">
        <v>0</v>
      </c>
      <c r="V272" s="461">
        <v>0</v>
      </c>
    </row>
    <row r="273" spans="1:22" s="455" customFormat="1" hidden="1">
      <c r="A273" s="455" t="str">
        <f t="shared" si="8"/>
        <v>11189151101410</v>
      </c>
      <c r="B273" s="455">
        <f>VLOOKUP(LEFT($C$3:$C$2600,3),Table!$D$2:$E$88,2,FALSE)</f>
        <v>0</v>
      </c>
      <c r="C273" s="455" t="str">
        <f t="shared" si="9"/>
        <v>9151101410</v>
      </c>
      <c r="D273" s="455" t="e">
        <f>VLOOKUP(G273,Table!$G$3:$H$21,2,FALSE)</f>
        <v>#N/A</v>
      </c>
      <c r="E273" s="452" t="s">
        <v>902</v>
      </c>
      <c r="F273" s="452" t="s">
        <v>1128</v>
      </c>
      <c r="G273" s="452" t="s">
        <v>1146</v>
      </c>
      <c r="H273" s="452" t="s">
        <v>1078</v>
      </c>
      <c r="I273" s="453" t="s">
        <v>844</v>
      </c>
      <c r="J273" s="453">
        <v>45</v>
      </c>
      <c r="K273" s="461">
        <v>15</v>
      </c>
      <c r="L273" s="461">
        <v>15</v>
      </c>
      <c r="M273" s="461">
        <v>15</v>
      </c>
      <c r="N273" s="461">
        <v>0</v>
      </c>
      <c r="O273" s="461">
        <v>0</v>
      </c>
      <c r="P273" s="461">
        <v>0</v>
      </c>
      <c r="Q273" s="461">
        <v>0</v>
      </c>
      <c r="R273" s="461">
        <v>0</v>
      </c>
      <c r="S273" s="461">
        <v>0</v>
      </c>
      <c r="T273" s="461">
        <v>0</v>
      </c>
      <c r="U273" s="461">
        <v>0</v>
      </c>
      <c r="V273" s="461">
        <v>0</v>
      </c>
    </row>
    <row r="274" spans="1:22" s="455" customFormat="1" hidden="1">
      <c r="A274" s="455" t="str">
        <f t="shared" si="8"/>
        <v>11189151101500</v>
      </c>
      <c r="B274" s="455">
        <f>VLOOKUP(LEFT($C$3:$C$2600,3),Table!$D$2:$E$88,2,FALSE)</f>
        <v>0</v>
      </c>
      <c r="C274" s="455" t="str">
        <f t="shared" si="9"/>
        <v>9151101500</v>
      </c>
      <c r="D274" s="455" t="e">
        <f>VLOOKUP(G274,Table!$G$3:$H$21,2,FALSE)</f>
        <v>#N/A</v>
      </c>
      <c r="E274" s="452" t="s">
        <v>902</v>
      </c>
      <c r="F274" s="452" t="s">
        <v>1128</v>
      </c>
      <c r="G274" s="452" t="s">
        <v>1147</v>
      </c>
      <c r="H274" s="452" t="s">
        <v>1080</v>
      </c>
      <c r="I274" s="453" t="s">
        <v>844</v>
      </c>
      <c r="J274" s="453">
        <v>371.95</v>
      </c>
      <c r="K274" s="461">
        <v>114.65</v>
      </c>
      <c r="L274" s="461">
        <v>128.65</v>
      </c>
      <c r="M274" s="461">
        <v>128.65</v>
      </c>
      <c r="N274" s="461">
        <v>0</v>
      </c>
      <c r="O274" s="461">
        <v>0</v>
      </c>
      <c r="P274" s="461">
        <v>0</v>
      </c>
      <c r="Q274" s="461">
        <v>0</v>
      </c>
      <c r="R274" s="461">
        <v>0</v>
      </c>
      <c r="S274" s="461">
        <v>0</v>
      </c>
      <c r="T274" s="461">
        <v>0</v>
      </c>
      <c r="U274" s="461">
        <v>0</v>
      </c>
      <c r="V274" s="461">
        <v>0</v>
      </c>
    </row>
    <row r="275" spans="1:22" s="455" customFormat="1" hidden="1">
      <c r="A275" s="455" t="str">
        <f t="shared" si="8"/>
        <v>11189151101600</v>
      </c>
      <c r="B275" s="455">
        <f>VLOOKUP(LEFT($C$3:$C$2600,3),Table!$D$2:$E$88,2,FALSE)</f>
        <v>0</v>
      </c>
      <c r="C275" s="455" t="str">
        <f t="shared" si="9"/>
        <v>9151101600</v>
      </c>
      <c r="D275" s="455" t="e">
        <f>VLOOKUP(G275,Table!$G$3:$H$21,2,FALSE)</f>
        <v>#N/A</v>
      </c>
      <c r="E275" s="452" t="s">
        <v>902</v>
      </c>
      <c r="F275" s="452" t="s">
        <v>1128</v>
      </c>
      <c r="G275" s="452" t="s">
        <v>1148</v>
      </c>
      <c r="H275" s="452" t="s">
        <v>1082</v>
      </c>
      <c r="I275" s="453" t="s">
        <v>844</v>
      </c>
      <c r="J275" s="453">
        <v>2907.18</v>
      </c>
      <c r="K275" s="461">
        <v>969.06</v>
      </c>
      <c r="L275" s="461">
        <v>969.06</v>
      </c>
      <c r="M275" s="461">
        <v>969.06</v>
      </c>
      <c r="N275" s="461">
        <v>0</v>
      </c>
      <c r="O275" s="461">
        <v>0</v>
      </c>
      <c r="P275" s="461">
        <v>0</v>
      </c>
      <c r="Q275" s="461">
        <v>0</v>
      </c>
      <c r="R275" s="461">
        <v>0</v>
      </c>
      <c r="S275" s="461">
        <v>0</v>
      </c>
      <c r="T275" s="461">
        <v>0</v>
      </c>
      <c r="U275" s="461">
        <v>0</v>
      </c>
      <c r="V275" s="461">
        <v>0</v>
      </c>
    </row>
    <row r="276" spans="1:22" s="455" customFormat="1" hidden="1">
      <c r="A276" s="455" t="str">
        <f t="shared" si="8"/>
        <v>11189151101700</v>
      </c>
      <c r="B276" s="455">
        <f>VLOOKUP(LEFT($C$3:$C$2600,3),Table!$D$2:$E$88,2,FALSE)</f>
        <v>0</v>
      </c>
      <c r="C276" s="455" t="str">
        <f t="shared" si="9"/>
        <v>9151101700</v>
      </c>
      <c r="D276" s="455" t="e">
        <f>VLOOKUP(G276,Table!$G$3:$H$21,2,FALSE)</f>
        <v>#N/A</v>
      </c>
      <c r="E276" s="452" t="s">
        <v>902</v>
      </c>
      <c r="F276" s="452" t="s">
        <v>1128</v>
      </c>
      <c r="G276" s="452" t="s">
        <v>1149</v>
      </c>
      <c r="H276" s="452" t="s">
        <v>1084</v>
      </c>
      <c r="I276" s="453" t="s">
        <v>844</v>
      </c>
      <c r="J276" s="453">
        <v>-3067.09</v>
      </c>
      <c r="K276" s="461">
        <v>456.24</v>
      </c>
      <c r="L276" s="461">
        <v>35.32</v>
      </c>
      <c r="M276" s="461">
        <v>7.96</v>
      </c>
      <c r="N276" s="461">
        <v>0</v>
      </c>
      <c r="O276" s="461">
        <v>0</v>
      </c>
      <c r="P276" s="461">
        <v>0</v>
      </c>
      <c r="Q276" s="461">
        <v>0</v>
      </c>
      <c r="R276" s="461">
        <v>0</v>
      </c>
      <c r="S276" s="461">
        <v>0</v>
      </c>
      <c r="T276" s="461">
        <v>0</v>
      </c>
      <c r="U276" s="461">
        <v>0</v>
      </c>
      <c r="V276" s="461">
        <v>0</v>
      </c>
    </row>
    <row r="277" spans="1:22" s="455" customFormat="1" hidden="1">
      <c r="A277" s="455" t="str">
        <f t="shared" si="8"/>
        <v>11189151101800</v>
      </c>
      <c r="B277" s="455">
        <f>VLOOKUP(LEFT($C$3:$C$2600,3),Table!$D$2:$E$88,2,FALSE)</f>
        <v>0</v>
      </c>
      <c r="C277" s="455" t="str">
        <f t="shared" si="9"/>
        <v>9151101800</v>
      </c>
      <c r="D277" s="455" t="e">
        <f>VLOOKUP(G277,Table!$G$3:$H$21,2,FALSE)</f>
        <v>#N/A</v>
      </c>
      <c r="E277" s="452" t="s">
        <v>902</v>
      </c>
      <c r="F277" s="452" t="s">
        <v>1128</v>
      </c>
      <c r="G277" s="452" t="s">
        <v>1150</v>
      </c>
      <c r="H277" s="452" t="s">
        <v>1086</v>
      </c>
      <c r="I277" s="453" t="s">
        <v>844</v>
      </c>
      <c r="J277" s="453">
        <v>2186.6999999999998</v>
      </c>
      <c r="K277" s="461">
        <v>666.6</v>
      </c>
      <c r="L277" s="461">
        <v>765.1</v>
      </c>
      <c r="M277" s="461">
        <v>755</v>
      </c>
      <c r="N277" s="461">
        <v>0</v>
      </c>
      <c r="O277" s="461">
        <v>0</v>
      </c>
      <c r="P277" s="461">
        <v>0</v>
      </c>
      <c r="Q277" s="461">
        <v>0</v>
      </c>
      <c r="R277" s="461">
        <v>0</v>
      </c>
      <c r="S277" s="461">
        <v>0</v>
      </c>
      <c r="T277" s="461">
        <v>0</v>
      </c>
      <c r="U277" s="461">
        <v>0</v>
      </c>
      <c r="V277" s="461">
        <v>0</v>
      </c>
    </row>
    <row r="278" spans="1:22" s="455" customFormat="1" hidden="1">
      <c r="A278" s="455" t="str">
        <f t="shared" si="8"/>
        <v>11189151101900</v>
      </c>
      <c r="B278" s="455">
        <f>VLOOKUP(LEFT($C$3:$C$2600,3),Table!$D$2:$E$88,2,FALSE)</f>
        <v>0</v>
      </c>
      <c r="C278" s="455" t="str">
        <f t="shared" si="9"/>
        <v>9151101900</v>
      </c>
      <c r="D278" s="455" t="e">
        <f>VLOOKUP(G278,Table!$G$3:$H$21,2,FALSE)</f>
        <v>#N/A</v>
      </c>
      <c r="E278" s="452" t="s">
        <v>902</v>
      </c>
      <c r="F278" s="452" t="s">
        <v>1128</v>
      </c>
      <c r="G278" s="452" t="s">
        <v>1151</v>
      </c>
      <c r="H278" s="452" t="s">
        <v>1088</v>
      </c>
      <c r="I278" s="453" t="s">
        <v>844</v>
      </c>
      <c r="J278" s="453">
        <v>131.22999999999999</v>
      </c>
      <c r="K278" s="461">
        <v>43.24</v>
      </c>
      <c r="L278" s="461">
        <v>43.26</v>
      </c>
      <c r="M278" s="461">
        <v>44.73</v>
      </c>
      <c r="N278" s="461">
        <v>0</v>
      </c>
      <c r="O278" s="461">
        <v>0</v>
      </c>
      <c r="P278" s="461">
        <v>0</v>
      </c>
      <c r="Q278" s="461">
        <v>0</v>
      </c>
      <c r="R278" s="461">
        <v>0</v>
      </c>
      <c r="S278" s="461">
        <v>0</v>
      </c>
      <c r="T278" s="461">
        <v>0</v>
      </c>
      <c r="U278" s="461">
        <v>0</v>
      </c>
      <c r="V278" s="461">
        <v>0</v>
      </c>
    </row>
    <row r="279" spans="1:22" s="455" customFormat="1" hidden="1">
      <c r="A279" s="455" t="str">
        <f t="shared" si="8"/>
        <v>11189151301500</v>
      </c>
      <c r="B279" s="455">
        <f>VLOOKUP(LEFT($C$3:$C$2600,3),Table!$D$2:$E$88,2,FALSE)</f>
        <v>0</v>
      </c>
      <c r="C279" s="455" t="str">
        <f t="shared" si="9"/>
        <v>9151301500</v>
      </c>
      <c r="D279" s="455" t="e">
        <f>VLOOKUP(G279,Table!$G$3:$H$21,2,FALSE)</f>
        <v>#N/A</v>
      </c>
      <c r="E279" s="452" t="s">
        <v>902</v>
      </c>
      <c r="F279" s="452" t="s">
        <v>1128</v>
      </c>
      <c r="G279" s="452" t="s">
        <v>1152</v>
      </c>
      <c r="H279" s="452" t="s">
        <v>1153</v>
      </c>
      <c r="I279" s="453" t="s">
        <v>844</v>
      </c>
      <c r="J279" s="453">
        <v>67.5</v>
      </c>
      <c r="K279" s="461">
        <v>67.5</v>
      </c>
      <c r="L279" s="461">
        <v>0</v>
      </c>
      <c r="M279" s="461">
        <v>0</v>
      </c>
      <c r="N279" s="461">
        <v>0</v>
      </c>
      <c r="O279" s="461">
        <v>0</v>
      </c>
      <c r="P279" s="461">
        <v>0</v>
      </c>
      <c r="Q279" s="461">
        <v>0</v>
      </c>
      <c r="R279" s="461">
        <v>0</v>
      </c>
      <c r="S279" s="461">
        <v>0</v>
      </c>
      <c r="T279" s="461">
        <v>0</v>
      </c>
      <c r="U279" s="461">
        <v>0</v>
      </c>
      <c r="V279" s="461">
        <v>0</v>
      </c>
    </row>
    <row r="280" spans="1:22" s="455" customFormat="1" hidden="1">
      <c r="A280" s="455" t="str">
        <f t="shared" si="8"/>
        <v>11189151302500</v>
      </c>
      <c r="B280" s="455">
        <f>VLOOKUP(LEFT($C$3:$C$2600,3),Table!$D$2:$E$88,2,FALSE)</f>
        <v>0</v>
      </c>
      <c r="C280" s="455" t="str">
        <f t="shared" si="9"/>
        <v>9151302500</v>
      </c>
      <c r="D280" s="455" t="e">
        <f>VLOOKUP(G280,Table!$G$3:$H$21,2,FALSE)</f>
        <v>#N/A</v>
      </c>
      <c r="E280" s="452" t="s">
        <v>902</v>
      </c>
      <c r="F280" s="452" t="s">
        <v>1128</v>
      </c>
      <c r="G280" s="452" t="s">
        <v>1154</v>
      </c>
      <c r="H280" s="452" t="s">
        <v>1155</v>
      </c>
      <c r="I280" s="453" t="s">
        <v>844</v>
      </c>
      <c r="J280" s="453">
        <v>8009.02</v>
      </c>
      <c r="K280" s="461">
        <v>2119.77</v>
      </c>
      <c r="L280" s="461">
        <v>2267.65</v>
      </c>
      <c r="M280" s="461">
        <v>3621.6</v>
      </c>
      <c r="N280" s="461">
        <v>0</v>
      </c>
      <c r="O280" s="461">
        <v>0</v>
      </c>
      <c r="P280" s="461">
        <v>0</v>
      </c>
      <c r="Q280" s="461">
        <v>0</v>
      </c>
      <c r="R280" s="461">
        <v>0</v>
      </c>
      <c r="S280" s="461">
        <v>0</v>
      </c>
      <c r="T280" s="461">
        <v>0</v>
      </c>
      <c r="U280" s="461">
        <v>0</v>
      </c>
      <c r="V280" s="461">
        <v>0</v>
      </c>
    </row>
    <row r="281" spans="1:22" s="455" customFormat="1" hidden="1">
      <c r="A281" s="455" t="str">
        <f t="shared" si="8"/>
        <v>11189151801100</v>
      </c>
      <c r="B281" s="455">
        <f>VLOOKUP(LEFT($C$3:$C$2600,3),Table!$D$2:$E$88,2,FALSE)</f>
        <v>0</v>
      </c>
      <c r="C281" s="455" t="str">
        <f t="shared" si="9"/>
        <v>9151801100</v>
      </c>
      <c r="D281" s="455" t="e">
        <f>VLOOKUP(G281,Table!$G$3:$H$21,2,FALSE)</f>
        <v>#N/A</v>
      </c>
      <c r="E281" s="452" t="s">
        <v>902</v>
      </c>
      <c r="F281" s="452" t="s">
        <v>1128</v>
      </c>
      <c r="G281" s="452" t="s">
        <v>1017</v>
      </c>
      <c r="H281" s="452" t="s">
        <v>1018</v>
      </c>
      <c r="I281" s="453" t="s">
        <v>844</v>
      </c>
      <c r="J281" s="453">
        <v>550</v>
      </c>
      <c r="K281" s="461">
        <v>0</v>
      </c>
      <c r="L281" s="461">
        <v>0</v>
      </c>
      <c r="M281" s="461">
        <v>550</v>
      </c>
      <c r="N281" s="461">
        <v>0</v>
      </c>
      <c r="O281" s="461">
        <v>0</v>
      </c>
      <c r="P281" s="461">
        <v>0</v>
      </c>
      <c r="Q281" s="461">
        <v>0</v>
      </c>
      <c r="R281" s="461">
        <v>0</v>
      </c>
      <c r="S281" s="461">
        <v>0</v>
      </c>
      <c r="T281" s="461">
        <v>0</v>
      </c>
      <c r="U281" s="461">
        <v>0</v>
      </c>
      <c r="V281" s="461">
        <v>0</v>
      </c>
    </row>
    <row r="282" spans="1:22" s="455" customFormat="1" hidden="1">
      <c r="A282" s="455" t="str">
        <f t="shared" si="8"/>
        <v>11189152023211</v>
      </c>
      <c r="B282" s="455">
        <f>VLOOKUP(LEFT($C$3:$C$2600,3),Table!$D$2:$E$88,2,FALSE)</f>
        <v>0</v>
      </c>
      <c r="C282" s="455" t="str">
        <f t="shared" si="9"/>
        <v>9152023211</v>
      </c>
      <c r="D282" s="455" t="e">
        <f>VLOOKUP(G282,Table!$G$3:$H$21,2,FALSE)</f>
        <v>#N/A</v>
      </c>
      <c r="E282" s="452" t="s">
        <v>902</v>
      </c>
      <c r="F282" s="452" t="s">
        <v>1128</v>
      </c>
      <c r="G282" s="452" t="s">
        <v>1029</v>
      </c>
      <c r="H282" s="452" t="s">
        <v>1030</v>
      </c>
      <c r="I282" s="453" t="s">
        <v>844</v>
      </c>
      <c r="J282" s="453">
        <v>0</v>
      </c>
      <c r="K282" s="461">
        <v>0</v>
      </c>
      <c r="L282" s="461">
        <v>1700</v>
      </c>
      <c r="M282" s="461">
        <v>0</v>
      </c>
      <c r="N282" s="461">
        <v>0</v>
      </c>
      <c r="O282" s="461">
        <v>0</v>
      </c>
      <c r="P282" s="461">
        <v>0</v>
      </c>
      <c r="Q282" s="461">
        <v>0</v>
      </c>
      <c r="R282" s="461">
        <v>0</v>
      </c>
      <c r="S282" s="461">
        <v>0</v>
      </c>
      <c r="T282" s="461">
        <v>0</v>
      </c>
      <c r="U282" s="461">
        <v>0</v>
      </c>
      <c r="V282" s="461">
        <v>0</v>
      </c>
    </row>
    <row r="283" spans="1:22" s="455" customFormat="1" hidden="1">
      <c r="A283" s="455" t="str">
        <f t="shared" si="8"/>
        <v>11189152023221</v>
      </c>
      <c r="B283" s="455">
        <f>VLOOKUP(LEFT($C$3:$C$2600,3),Table!$D$2:$E$88,2,FALSE)</f>
        <v>0</v>
      </c>
      <c r="C283" s="455" t="str">
        <f t="shared" si="9"/>
        <v>9152023221</v>
      </c>
      <c r="D283" s="455" t="e">
        <f>VLOOKUP(G283,Table!$G$3:$H$21,2,FALSE)</f>
        <v>#N/A</v>
      </c>
      <c r="E283" s="452" t="s">
        <v>902</v>
      </c>
      <c r="F283" s="452" t="s">
        <v>1128</v>
      </c>
      <c r="G283" s="452" t="s">
        <v>1156</v>
      </c>
      <c r="H283" s="452" t="s">
        <v>1157</v>
      </c>
      <c r="I283" s="453" t="s">
        <v>844</v>
      </c>
      <c r="J283" s="453">
        <v>1600</v>
      </c>
      <c r="K283" s="461">
        <v>0</v>
      </c>
      <c r="L283" s="461">
        <v>1600</v>
      </c>
      <c r="M283" s="461">
        <v>0</v>
      </c>
      <c r="N283" s="461">
        <v>0</v>
      </c>
      <c r="O283" s="461">
        <v>0</v>
      </c>
      <c r="P283" s="461">
        <v>0</v>
      </c>
      <c r="Q283" s="461">
        <v>0</v>
      </c>
      <c r="R283" s="461">
        <v>0</v>
      </c>
      <c r="S283" s="461">
        <v>0</v>
      </c>
      <c r="T283" s="461">
        <v>0</v>
      </c>
      <c r="U283" s="461">
        <v>0</v>
      </c>
      <c r="V283" s="461">
        <v>0</v>
      </c>
    </row>
    <row r="284" spans="1:22" s="455" customFormat="1" hidden="1">
      <c r="A284" s="455" t="str">
        <f t="shared" si="8"/>
        <v>11189152050021</v>
      </c>
      <c r="B284" s="455">
        <f>VLOOKUP(LEFT($C$3:$C$2600,3),Table!$D$2:$E$88,2,FALSE)</f>
        <v>0</v>
      </c>
      <c r="C284" s="455" t="str">
        <f t="shared" si="9"/>
        <v>9152050021</v>
      </c>
      <c r="D284" s="455" t="e">
        <f>VLOOKUP(G284,Table!$G$3:$H$21,2,FALSE)</f>
        <v>#N/A</v>
      </c>
      <c r="E284" s="452" t="s">
        <v>902</v>
      </c>
      <c r="F284" s="452" t="s">
        <v>1128</v>
      </c>
      <c r="G284" s="452" t="s">
        <v>1158</v>
      </c>
      <c r="H284" s="452" t="s">
        <v>1159</v>
      </c>
      <c r="I284" s="453" t="s">
        <v>844</v>
      </c>
      <c r="J284" s="453">
        <v>640</v>
      </c>
      <c r="K284" s="461">
        <v>0</v>
      </c>
      <c r="L284" s="461">
        <v>0</v>
      </c>
      <c r="M284" s="461">
        <v>640</v>
      </c>
      <c r="N284" s="461">
        <v>0</v>
      </c>
      <c r="O284" s="461">
        <v>0</v>
      </c>
      <c r="P284" s="461">
        <v>0</v>
      </c>
      <c r="Q284" s="461">
        <v>0</v>
      </c>
      <c r="R284" s="461">
        <v>0</v>
      </c>
      <c r="S284" s="461">
        <v>0</v>
      </c>
      <c r="T284" s="461">
        <v>0</v>
      </c>
      <c r="U284" s="461">
        <v>0</v>
      </c>
      <c r="V284" s="461">
        <v>0</v>
      </c>
    </row>
    <row r="285" spans="1:22" s="455" customFormat="1" hidden="1">
      <c r="A285" s="455" t="str">
        <f t="shared" si="8"/>
        <v>11189152402509</v>
      </c>
      <c r="B285" s="455">
        <f>VLOOKUP(LEFT($C$3:$C$2600,3),Table!$D$2:$E$88,2,FALSE)</f>
        <v>0</v>
      </c>
      <c r="C285" s="455" t="str">
        <f t="shared" si="9"/>
        <v>9152402509</v>
      </c>
      <c r="D285" s="455" t="e">
        <f>VLOOKUP(G285,Table!$G$3:$H$21,2,FALSE)</f>
        <v>#N/A</v>
      </c>
      <c r="E285" s="452" t="s">
        <v>902</v>
      </c>
      <c r="F285" s="452" t="s">
        <v>1128</v>
      </c>
      <c r="G285" s="452" t="s">
        <v>2536</v>
      </c>
      <c r="H285" s="452" t="s">
        <v>2537</v>
      </c>
      <c r="I285" s="453" t="s">
        <v>844</v>
      </c>
      <c r="J285" s="453">
        <v>-2600</v>
      </c>
      <c r="K285" s="461">
        <v>0</v>
      </c>
      <c r="L285" s="461">
        <v>0</v>
      </c>
      <c r="M285" s="461">
        <v>-2600</v>
      </c>
      <c r="N285" s="461">
        <v>0</v>
      </c>
      <c r="O285" s="461">
        <v>0</v>
      </c>
      <c r="P285" s="461">
        <v>0</v>
      </c>
      <c r="Q285" s="461">
        <v>0</v>
      </c>
      <c r="R285" s="461">
        <v>0</v>
      </c>
      <c r="S285" s="461">
        <v>0</v>
      </c>
      <c r="T285" s="461">
        <v>0</v>
      </c>
      <c r="U285" s="461">
        <v>0</v>
      </c>
      <c r="V285" s="461">
        <v>0</v>
      </c>
    </row>
    <row r="286" spans="1:22" s="455" customFormat="1" hidden="1">
      <c r="A286" s="455" t="str">
        <f t="shared" si="8"/>
        <v>11189152402517</v>
      </c>
      <c r="B286" s="455">
        <f>VLOOKUP(LEFT($C$3:$C$2600,3),Table!$D$2:$E$88,2,FALSE)</f>
        <v>0</v>
      </c>
      <c r="C286" s="455" t="str">
        <f t="shared" si="9"/>
        <v>9152402517</v>
      </c>
      <c r="D286" s="455" t="e">
        <f>VLOOKUP(G286,Table!$G$3:$H$21,2,FALSE)</f>
        <v>#N/A</v>
      </c>
      <c r="E286" s="452" t="s">
        <v>902</v>
      </c>
      <c r="F286" s="452" t="s">
        <v>1128</v>
      </c>
      <c r="G286" s="452" t="s">
        <v>1160</v>
      </c>
      <c r="H286" s="452" t="s">
        <v>1161</v>
      </c>
      <c r="I286" s="453" t="s">
        <v>844</v>
      </c>
      <c r="J286" s="453">
        <v>9400</v>
      </c>
      <c r="K286" s="461">
        <v>2300</v>
      </c>
      <c r="L286" s="461">
        <v>2300</v>
      </c>
      <c r="M286" s="461">
        <v>2400</v>
      </c>
      <c r="N286" s="461">
        <v>0</v>
      </c>
      <c r="O286" s="461">
        <v>0</v>
      </c>
      <c r="P286" s="461">
        <v>0</v>
      </c>
      <c r="Q286" s="461">
        <v>0</v>
      </c>
      <c r="R286" s="461">
        <v>0</v>
      </c>
      <c r="S286" s="461">
        <v>0</v>
      </c>
      <c r="T286" s="461">
        <v>0</v>
      </c>
      <c r="U286" s="461">
        <v>0</v>
      </c>
      <c r="V286" s="461">
        <v>0</v>
      </c>
    </row>
    <row r="287" spans="1:22" s="455" customFormat="1" hidden="1">
      <c r="A287" s="455" t="str">
        <f t="shared" si="8"/>
        <v>11189153001000</v>
      </c>
      <c r="B287" s="455">
        <f>VLOOKUP(LEFT($C$3:$C$2600,3),Table!$D$2:$E$88,2,FALSE)</f>
        <v>0</v>
      </c>
      <c r="C287" s="455" t="str">
        <f t="shared" si="9"/>
        <v>9153001000</v>
      </c>
      <c r="D287" s="455" t="e">
        <f>VLOOKUP(G287,Table!$G$3:$H$21,2,FALSE)</f>
        <v>#N/A</v>
      </c>
      <c r="E287" s="452" t="s">
        <v>902</v>
      </c>
      <c r="F287" s="452" t="s">
        <v>1128</v>
      </c>
      <c r="G287" s="452" t="s">
        <v>1043</v>
      </c>
      <c r="H287" s="452" t="s">
        <v>1044</v>
      </c>
      <c r="I287" s="453" t="s">
        <v>844</v>
      </c>
      <c r="J287" s="453">
        <v>2745</v>
      </c>
      <c r="K287" s="461">
        <v>915</v>
      </c>
      <c r="L287" s="461">
        <v>915</v>
      </c>
      <c r="M287" s="461">
        <v>915</v>
      </c>
      <c r="N287" s="461">
        <v>0</v>
      </c>
      <c r="O287" s="461">
        <v>0</v>
      </c>
      <c r="P287" s="461">
        <v>0</v>
      </c>
      <c r="Q287" s="461">
        <v>0</v>
      </c>
      <c r="R287" s="461">
        <v>0</v>
      </c>
      <c r="S287" s="461">
        <v>0</v>
      </c>
      <c r="T287" s="461">
        <v>0</v>
      </c>
      <c r="U287" s="461">
        <v>0</v>
      </c>
      <c r="V287" s="461">
        <v>0</v>
      </c>
    </row>
    <row r="288" spans="1:22" s="455" customFormat="1" hidden="1">
      <c r="A288" s="455" t="str">
        <f t="shared" si="8"/>
        <v>11209101001000</v>
      </c>
      <c r="B288" s="455">
        <f>VLOOKUP(LEFT($C$3:$C$2600,3),Table!$D$2:$E$88,2,FALSE)</f>
        <v>0</v>
      </c>
      <c r="C288" s="455" t="str">
        <f t="shared" si="9"/>
        <v>9101001000</v>
      </c>
      <c r="D288" s="455" t="e">
        <f>VLOOKUP(G288,Table!$G$3:$H$21,2,FALSE)</f>
        <v>#N/A</v>
      </c>
      <c r="E288" s="452" t="s">
        <v>902</v>
      </c>
      <c r="F288" s="452" t="s">
        <v>1162</v>
      </c>
      <c r="G288" s="452" t="s">
        <v>1046</v>
      </c>
      <c r="H288" s="452" t="s">
        <v>1047</v>
      </c>
      <c r="I288" s="453" t="s">
        <v>844</v>
      </c>
      <c r="J288" s="453">
        <v>21117.39</v>
      </c>
      <c r="K288" s="461">
        <v>7125.72</v>
      </c>
      <c r="L288" s="461">
        <v>6909.25</v>
      </c>
      <c r="M288" s="461">
        <v>7082.42</v>
      </c>
      <c r="N288" s="461">
        <v>0</v>
      </c>
      <c r="O288" s="461">
        <v>0</v>
      </c>
      <c r="P288" s="461">
        <v>0</v>
      </c>
      <c r="Q288" s="461">
        <v>0</v>
      </c>
      <c r="R288" s="461">
        <v>0</v>
      </c>
      <c r="S288" s="461">
        <v>0</v>
      </c>
      <c r="T288" s="461">
        <v>0</v>
      </c>
      <c r="U288" s="461">
        <v>0</v>
      </c>
      <c r="V288" s="461">
        <v>0</v>
      </c>
    </row>
    <row r="289" spans="1:22" s="455" customFormat="1" hidden="1">
      <c r="A289" s="455" t="str">
        <f t="shared" si="8"/>
        <v>11209101001100</v>
      </c>
      <c r="B289" s="455">
        <f>VLOOKUP(LEFT($C$3:$C$2600,3),Table!$D$2:$E$88,2,FALSE)</f>
        <v>0</v>
      </c>
      <c r="C289" s="455" t="str">
        <f t="shared" si="9"/>
        <v>9101001100</v>
      </c>
      <c r="D289" s="455" t="e">
        <f>VLOOKUP(G289,Table!$G$3:$H$21,2,FALSE)</f>
        <v>#N/A</v>
      </c>
      <c r="E289" s="452" t="s">
        <v>902</v>
      </c>
      <c r="F289" s="452" t="s">
        <v>1162</v>
      </c>
      <c r="G289" s="452" t="s">
        <v>1048</v>
      </c>
      <c r="H289" s="452" t="s">
        <v>1049</v>
      </c>
      <c r="I289" s="453" t="s">
        <v>844</v>
      </c>
      <c r="J289" s="453">
        <v>12490.07</v>
      </c>
      <c r="K289" s="461">
        <v>4057.48</v>
      </c>
      <c r="L289" s="461">
        <v>4535.6899999999996</v>
      </c>
      <c r="M289" s="461">
        <v>4628.22</v>
      </c>
      <c r="N289" s="461">
        <v>0</v>
      </c>
      <c r="O289" s="461">
        <v>0</v>
      </c>
      <c r="P289" s="461">
        <v>0</v>
      </c>
      <c r="Q289" s="461">
        <v>0</v>
      </c>
      <c r="R289" s="461">
        <v>0</v>
      </c>
      <c r="S289" s="461">
        <v>0</v>
      </c>
      <c r="T289" s="461">
        <v>0</v>
      </c>
      <c r="U289" s="461">
        <v>0</v>
      </c>
      <c r="V289" s="461">
        <v>0</v>
      </c>
    </row>
    <row r="290" spans="1:22" s="455" customFormat="1" hidden="1">
      <c r="A290" s="455" t="str">
        <f t="shared" si="8"/>
        <v>11209101001200</v>
      </c>
      <c r="B290" s="455">
        <f>VLOOKUP(LEFT($C$3:$C$2600,3),Table!$D$2:$E$88,2,FALSE)</f>
        <v>0</v>
      </c>
      <c r="C290" s="455" t="str">
        <f t="shared" si="9"/>
        <v>9101001200</v>
      </c>
      <c r="D290" s="455" t="e">
        <f>VLOOKUP(G290,Table!$G$3:$H$21,2,FALSE)</f>
        <v>#N/A</v>
      </c>
      <c r="E290" s="452" t="s">
        <v>902</v>
      </c>
      <c r="F290" s="452" t="s">
        <v>1162</v>
      </c>
      <c r="G290" s="452" t="s">
        <v>1050</v>
      </c>
      <c r="H290" s="452" t="s">
        <v>1051</v>
      </c>
      <c r="I290" s="453" t="s">
        <v>844</v>
      </c>
      <c r="J290" s="453">
        <v>2153.73</v>
      </c>
      <c r="K290" s="461">
        <v>711.91</v>
      </c>
      <c r="L290" s="461">
        <v>720.91</v>
      </c>
      <c r="M290" s="461">
        <v>720.91</v>
      </c>
      <c r="N290" s="461">
        <v>0</v>
      </c>
      <c r="O290" s="461">
        <v>0</v>
      </c>
      <c r="P290" s="461">
        <v>0</v>
      </c>
      <c r="Q290" s="461">
        <v>0</v>
      </c>
      <c r="R290" s="461">
        <v>0</v>
      </c>
      <c r="S290" s="461">
        <v>0</v>
      </c>
      <c r="T290" s="461">
        <v>0</v>
      </c>
      <c r="U290" s="461">
        <v>0</v>
      </c>
      <c r="V290" s="461">
        <v>0</v>
      </c>
    </row>
    <row r="291" spans="1:22" s="455" customFormat="1" hidden="1">
      <c r="A291" s="455" t="str">
        <f t="shared" si="8"/>
        <v>11209101001400</v>
      </c>
      <c r="B291" s="455">
        <f>VLOOKUP(LEFT($C$3:$C$2600,3),Table!$D$2:$E$88,2,FALSE)</f>
        <v>0</v>
      </c>
      <c r="C291" s="455" t="str">
        <f t="shared" si="9"/>
        <v>9101001400</v>
      </c>
      <c r="D291" s="455" t="e">
        <f>VLOOKUP(G291,Table!$G$3:$H$21,2,FALSE)</f>
        <v>#N/A</v>
      </c>
      <c r="E291" s="452" t="s">
        <v>902</v>
      </c>
      <c r="F291" s="452" t="s">
        <v>1162</v>
      </c>
      <c r="G291" s="452" t="s">
        <v>1054</v>
      </c>
      <c r="H291" s="452" t="s">
        <v>1055</v>
      </c>
      <c r="I291" s="453" t="s">
        <v>844</v>
      </c>
      <c r="J291" s="453">
        <v>3523</v>
      </c>
      <c r="K291" s="461">
        <v>1186</v>
      </c>
      <c r="L291" s="461">
        <v>1154</v>
      </c>
      <c r="M291" s="461">
        <v>1183</v>
      </c>
      <c r="N291" s="461">
        <v>0</v>
      </c>
      <c r="O291" s="461">
        <v>0</v>
      </c>
      <c r="P291" s="461">
        <v>0</v>
      </c>
      <c r="Q291" s="461">
        <v>0</v>
      </c>
      <c r="R291" s="461">
        <v>0</v>
      </c>
      <c r="S291" s="461">
        <v>0</v>
      </c>
      <c r="T291" s="461">
        <v>0</v>
      </c>
      <c r="U291" s="461">
        <v>0</v>
      </c>
      <c r="V291" s="461">
        <v>0</v>
      </c>
    </row>
    <row r="292" spans="1:22" s="455" customFormat="1" hidden="1">
      <c r="A292" s="455" t="str">
        <f t="shared" si="8"/>
        <v>11209101001410</v>
      </c>
      <c r="B292" s="455">
        <f>VLOOKUP(LEFT($C$3:$C$2600,3),Table!$D$2:$E$88,2,FALSE)</f>
        <v>0</v>
      </c>
      <c r="C292" s="455" t="str">
        <f t="shared" si="9"/>
        <v>9101001410</v>
      </c>
      <c r="D292" s="455" t="e">
        <f>VLOOKUP(G292,Table!$G$3:$H$21,2,FALSE)</f>
        <v>#N/A</v>
      </c>
      <c r="E292" s="452" t="s">
        <v>902</v>
      </c>
      <c r="F292" s="452" t="s">
        <v>1162</v>
      </c>
      <c r="G292" s="452" t="s">
        <v>1056</v>
      </c>
      <c r="H292" s="452" t="s">
        <v>1057</v>
      </c>
      <c r="I292" s="453" t="s">
        <v>844</v>
      </c>
      <c r="J292" s="453">
        <v>135</v>
      </c>
      <c r="K292" s="461">
        <v>45</v>
      </c>
      <c r="L292" s="461">
        <v>45</v>
      </c>
      <c r="M292" s="461">
        <v>45</v>
      </c>
      <c r="N292" s="461">
        <v>0</v>
      </c>
      <c r="O292" s="461">
        <v>0</v>
      </c>
      <c r="P292" s="461">
        <v>0</v>
      </c>
      <c r="Q292" s="461">
        <v>0</v>
      </c>
      <c r="R292" s="461">
        <v>0</v>
      </c>
      <c r="S292" s="461">
        <v>0</v>
      </c>
      <c r="T292" s="461">
        <v>0</v>
      </c>
      <c r="U292" s="461">
        <v>0</v>
      </c>
      <c r="V292" s="461">
        <v>0</v>
      </c>
    </row>
    <row r="293" spans="1:22" s="455" customFormat="1" hidden="1">
      <c r="A293" s="455" t="str">
        <f t="shared" si="8"/>
        <v>11209101001500</v>
      </c>
      <c r="B293" s="455">
        <f>VLOOKUP(LEFT($C$3:$C$2600,3),Table!$D$2:$E$88,2,FALSE)</f>
        <v>0</v>
      </c>
      <c r="C293" s="455" t="str">
        <f t="shared" si="9"/>
        <v>9101001500</v>
      </c>
      <c r="D293" s="455" t="e">
        <f>VLOOKUP(G293,Table!$G$3:$H$21,2,FALSE)</f>
        <v>#N/A</v>
      </c>
      <c r="E293" s="452" t="s">
        <v>902</v>
      </c>
      <c r="F293" s="452" t="s">
        <v>1162</v>
      </c>
      <c r="G293" s="452" t="s">
        <v>1058</v>
      </c>
      <c r="H293" s="452" t="s">
        <v>1059</v>
      </c>
      <c r="I293" s="453" t="s">
        <v>844</v>
      </c>
      <c r="J293" s="453">
        <v>464.85</v>
      </c>
      <c r="K293" s="461">
        <v>154.94999999999999</v>
      </c>
      <c r="L293" s="461">
        <v>154.94999999999999</v>
      </c>
      <c r="M293" s="461">
        <v>154.94999999999999</v>
      </c>
      <c r="N293" s="461">
        <v>0</v>
      </c>
      <c r="O293" s="461">
        <v>0</v>
      </c>
      <c r="P293" s="461">
        <v>0</v>
      </c>
      <c r="Q293" s="461">
        <v>0</v>
      </c>
      <c r="R293" s="461">
        <v>0</v>
      </c>
      <c r="S293" s="461">
        <v>0</v>
      </c>
      <c r="T293" s="461">
        <v>0</v>
      </c>
      <c r="U293" s="461">
        <v>0</v>
      </c>
      <c r="V293" s="461">
        <v>0</v>
      </c>
    </row>
    <row r="294" spans="1:22" s="455" customFormat="1" hidden="1">
      <c r="A294" s="455" t="str">
        <f t="shared" si="8"/>
        <v>11209101001600</v>
      </c>
      <c r="B294" s="455">
        <f>VLOOKUP(LEFT($C$3:$C$2600,3),Table!$D$2:$E$88,2,FALSE)</f>
        <v>0</v>
      </c>
      <c r="C294" s="455" t="str">
        <f t="shared" si="9"/>
        <v>9101001600</v>
      </c>
      <c r="D294" s="455" t="e">
        <f>VLOOKUP(G294,Table!$G$3:$H$21,2,FALSE)</f>
        <v>#N/A</v>
      </c>
      <c r="E294" s="452" t="s">
        <v>902</v>
      </c>
      <c r="F294" s="452" t="s">
        <v>1162</v>
      </c>
      <c r="G294" s="452" t="s">
        <v>1060</v>
      </c>
      <c r="H294" s="452" t="s">
        <v>1061</v>
      </c>
      <c r="I294" s="453" t="s">
        <v>844</v>
      </c>
      <c r="J294" s="453">
        <v>4966.3500000000004</v>
      </c>
      <c r="K294" s="461">
        <v>1655.45</v>
      </c>
      <c r="L294" s="461">
        <v>1655.45</v>
      </c>
      <c r="M294" s="461">
        <v>1655.45</v>
      </c>
      <c r="N294" s="461">
        <v>0</v>
      </c>
      <c r="O294" s="461">
        <v>0</v>
      </c>
      <c r="P294" s="461">
        <v>0</v>
      </c>
      <c r="Q294" s="461">
        <v>0</v>
      </c>
      <c r="R294" s="461">
        <v>0</v>
      </c>
      <c r="S294" s="461">
        <v>0</v>
      </c>
      <c r="T294" s="461">
        <v>0</v>
      </c>
      <c r="U294" s="461">
        <v>0</v>
      </c>
      <c r="V294" s="461">
        <v>0</v>
      </c>
    </row>
    <row r="295" spans="1:22" s="455" customFormat="1" hidden="1">
      <c r="A295" s="455" t="str">
        <f t="shared" si="8"/>
        <v>11209101001700</v>
      </c>
      <c r="B295" s="455">
        <f>VLOOKUP(LEFT($C$3:$C$2600,3),Table!$D$2:$E$88,2,FALSE)</f>
        <v>0</v>
      </c>
      <c r="C295" s="455" t="str">
        <f t="shared" si="9"/>
        <v>9101001700</v>
      </c>
      <c r="D295" s="455" t="e">
        <f>VLOOKUP(G295,Table!$G$3:$H$21,2,FALSE)</f>
        <v>#N/A</v>
      </c>
      <c r="E295" s="452" t="s">
        <v>902</v>
      </c>
      <c r="F295" s="452" t="s">
        <v>1162</v>
      </c>
      <c r="G295" s="452" t="s">
        <v>1062</v>
      </c>
      <c r="H295" s="452" t="s">
        <v>1063</v>
      </c>
      <c r="I295" s="453" t="s">
        <v>844</v>
      </c>
      <c r="J295" s="453">
        <v>-9290.93</v>
      </c>
      <c r="K295" s="461">
        <v>527.88</v>
      </c>
      <c r="L295" s="461">
        <v>366.39</v>
      </c>
      <c r="M295" s="461">
        <v>255.16</v>
      </c>
      <c r="N295" s="461">
        <v>0</v>
      </c>
      <c r="O295" s="461">
        <v>0</v>
      </c>
      <c r="P295" s="461">
        <v>0</v>
      </c>
      <c r="Q295" s="461">
        <v>0</v>
      </c>
      <c r="R295" s="461">
        <v>0</v>
      </c>
      <c r="S295" s="461">
        <v>0</v>
      </c>
      <c r="T295" s="461">
        <v>0</v>
      </c>
      <c r="U295" s="461">
        <v>0</v>
      </c>
      <c r="V295" s="461">
        <v>0</v>
      </c>
    </row>
    <row r="296" spans="1:22" s="455" customFormat="1" hidden="1">
      <c r="A296" s="455" t="str">
        <f t="shared" si="8"/>
        <v>11209101001800</v>
      </c>
      <c r="B296" s="455">
        <f>VLOOKUP(LEFT($C$3:$C$2600,3),Table!$D$2:$E$88,2,FALSE)</f>
        <v>0</v>
      </c>
      <c r="C296" s="455" t="str">
        <f t="shared" si="9"/>
        <v>9101001800</v>
      </c>
      <c r="D296" s="455" t="e">
        <f>VLOOKUP(G296,Table!$G$3:$H$21,2,FALSE)</f>
        <v>#N/A</v>
      </c>
      <c r="E296" s="452" t="s">
        <v>902</v>
      </c>
      <c r="F296" s="452" t="s">
        <v>1162</v>
      </c>
      <c r="G296" s="452" t="s">
        <v>1064</v>
      </c>
      <c r="H296" s="452" t="s">
        <v>1065</v>
      </c>
      <c r="I296" s="453" t="s">
        <v>844</v>
      </c>
      <c r="J296" s="453">
        <v>1210.0999999999999</v>
      </c>
      <c r="K296" s="461">
        <v>394.7</v>
      </c>
      <c r="L296" s="461">
        <v>384.8</v>
      </c>
      <c r="M296" s="461">
        <v>430.6</v>
      </c>
      <c r="N296" s="461">
        <v>0</v>
      </c>
      <c r="O296" s="461">
        <v>0</v>
      </c>
      <c r="P296" s="461">
        <v>0</v>
      </c>
      <c r="Q296" s="461">
        <v>0</v>
      </c>
      <c r="R296" s="461">
        <v>0</v>
      </c>
      <c r="S296" s="461">
        <v>0</v>
      </c>
      <c r="T296" s="461">
        <v>0</v>
      </c>
      <c r="U296" s="461">
        <v>0</v>
      </c>
      <c r="V296" s="461">
        <v>0</v>
      </c>
    </row>
    <row r="297" spans="1:22" s="455" customFormat="1" hidden="1">
      <c r="A297" s="455" t="str">
        <f t="shared" si="8"/>
        <v>11209101001900</v>
      </c>
      <c r="B297" s="455">
        <f>VLOOKUP(LEFT($C$3:$C$2600,3),Table!$D$2:$E$88,2,FALSE)</f>
        <v>0</v>
      </c>
      <c r="C297" s="455" t="str">
        <f t="shared" si="9"/>
        <v>9101001900</v>
      </c>
      <c r="D297" s="455" t="e">
        <f>VLOOKUP(G297,Table!$G$3:$H$21,2,FALSE)</f>
        <v>#N/A</v>
      </c>
      <c r="E297" s="452" t="s">
        <v>902</v>
      </c>
      <c r="F297" s="452" t="s">
        <v>1162</v>
      </c>
      <c r="G297" s="452" t="s">
        <v>1066</v>
      </c>
      <c r="H297" s="452" t="s">
        <v>1007</v>
      </c>
      <c r="I297" s="453" t="s">
        <v>844</v>
      </c>
      <c r="J297" s="453">
        <v>233.75</v>
      </c>
      <c r="K297" s="461">
        <v>78.78</v>
      </c>
      <c r="L297" s="461">
        <v>76.62</v>
      </c>
      <c r="M297" s="461">
        <v>78.349999999999994</v>
      </c>
      <c r="N297" s="461">
        <v>0</v>
      </c>
      <c r="O297" s="461">
        <v>0</v>
      </c>
      <c r="P297" s="461">
        <v>0</v>
      </c>
      <c r="Q297" s="461">
        <v>0</v>
      </c>
      <c r="R297" s="461">
        <v>0</v>
      </c>
      <c r="S297" s="461">
        <v>0</v>
      </c>
      <c r="T297" s="461">
        <v>0</v>
      </c>
      <c r="U297" s="461">
        <v>0</v>
      </c>
      <c r="V297" s="461">
        <v>0</v>
      </c>
    </row>
    <row r="298" spans="1:22" s="455" customFormat="1" hidden="1">
      <c r="A298" s="455" t="str">
        <f t="shared" si="8"/>
        <v>11209101101000</v>
      </c>
      <c r="B298" s="455">
        <f>VLOOKUP(LEFT($C$3:$C$2600,3),Table!$D$2:$E$88,2,FALSE)</f>
        <v>0</v>
      </c>
      <c r="C298" s="455" t="str">
        <f t="shared" si="9"/>
        <v>9101101000</v>
      </c>
      <c r="D298" s="455" t="e">
        <f>VLOOKUP(G298,Table!$G$3:$H$21,2,FALSE)</f>
        <v>#N/A</v>
      </c>
      <c r="E298" s="452" t="s">
        <v>902</v>
      </c>
      <c r="F298" s="452" t="s">
        <v>1162</v>
      </c>
      <c r="G298" s="452" t="s">
        <v>1067</v>
      </c>
      <c r="H298" s="452" t="s">
        <v>1068</v>
      </c>
      <c r="I298" s="453" t="s">
        <v>844</v>
      </c>
      <c r="J298" s="453">
        <v>64528.09</v>
      </c>
      <c r="K298" s="461">
        <v>19895.490000000002</v>
      </c>
      <c r="L298" s="461">
        <v>23747.53</v>
      </c>
      <c r="M298" s="461">
        <v>24513.8</v>
      </c>
      <c r="N298" s="461">
        <v>0</v>
      </c>
      <c r="O298" s="461">
        <v>0</v>
      </c>
      <c r="P298" s="461">
        <v>0</v>
      </c>
      <c r="Q298" s="461">
        <v>0</v>
      </c>
      <c r="R298" s="461">
        <v>0</v>
      </c>
      <c r="S298" s="461">
        <v>0</v>
      </c>
      <c r="T298" s="461">
        <v>0</v>
      </c>
      <c r="U298" s="461">
        <v>0</v>
      </c>
      <c r="V298" s="461">
        <v>0</v>
      </c>
    </row>
    <row r="299" spans="1:22" s="455" customFormat="1" hidden="1">
      <c r="A299" s="455" t="str">
        <f t="shared" si="8"/>
        <v>11209101101100</v>
      </c>
      <c r="B299" s="455">
        <f>VLOOKUP(LEFT($C$3:$C$2600,3),Table!$D$2:$E$88,2,FALSE)</f>
        <v>0</v>
      </c>
      <c r="C299" s="455" t="str">
        <f t="shared" si="9"/>
        <v>9101101100</v>
      </c>
      <c r="D299" s="455" t="e">
        <f>VLOOKUP(G299,Table!$G$3:$H$21,2,FALSE)</f>
        <v>#N/A</v>
      </c>
      <c r="E299" s="452" t="s">
        <v>902</v>
      </c>
      <c r="F299" s="452" t="s">
        <v>1162</v>
      </c>
      <c r="G299" s="452" t="s">
        <v>1069</v>
      </c>
      <c r="H299" s="452" t="s">
        <v>1070</v>
      </c>
      <c r="I299" s="453" t="s">
        <v>844</v>
      </c>
      <c r="J299" s="453">
        <v>35219.019999999997</v>
      </c>
      <c r="K299" s="461">
        <v>11638.2</v>
      </c>
      <c r="L299" s="461">
        <v>12153.42</v>
      </c>
      <c r="M299" s="461">
        <v>13804.5</v>
      </c>
      <c r="N299" s="461">
        <v>0</v>
      </c>
      <c r="O299" s="461">
        <v>0</v>
      </c>
      <c r="P299" s="461">
        <v>0</v>
      </c>
      <c r="Q299" s="461">
        <v>0</v>
      </c>
      <c r="R299" s="461">
        <v>0</v>
      </c>
      <c r="S299" s="461">
        <v>0</v>
      </c>
      <c r="T299" s="461">
        <v>0</v>
      </c>
      <c r="U299" s="461">
        <v>0</v>
      </c>
      <c r="V299" s="461">
        <v>0</v>
      </c>
    </row>
    <row r="300" spans="1:22" s="455" customFormat="1" hidden="1">
      <c r="A300" s="455" t="str">
        <f t="shared" si="8"/>
        <v>11209101101200</v>
      </c>
      <c r="B300" s="455">
        <f>VLOOKUP(LEFT($C$3:$C$2600,3),Table!$D$2:$E$88,2,FALSE)</f>
        <v>0</v>
      </c>
      <c r="C300" s="455" t="str">
        <f t="shared" si="9"/>
        <v>9101101200</v>
      </c>
      <c r="D300" s="455" t="e">
        <f>VLOOKUP(G300,Table!$G$3:$H$21,2,FALSE)</f>
        <v>#N/A</v>
      </c>
      <c r="E300" s="452" t="s">
        <v>902</v>
      </c>
      <c r="F300" s="452" t="s">
        <v>1162</v>
      </c>
      <c r="G300" s="452" t="s">
        <v>1071</v>
      </c>
      <c r="H300" s="452" t="s">
        <v>1072</v>
      </c>
      <c r="I300" s="453" t="s">
        <v>844</v>
      </c>
      <c r="J300" s="453">
        <v>8833.1299999999992</v>
      </c>
      <c r="K300" s="461">
        <v>2598.64</v>
      </c>
      <c r="L300" s="461">
        <v>3085.4</v>
      </c>
      <c r="M300" s="461">
        <v>3149.09</v>
      </c>
      <c r="N300" s="461">
        <v>0</v>
      </c>
      <c r="O300" s="461">
        <v>0</v>
      </c>
      <c r="P300" s="461">
        <v>0</v>
      </c>
      <c r="Q300" s="461">
        <v>0</v>
      </c>
      <c r="R300" s="461">
        <v>0</v>
      </c>
      <c r="S300" s="461">
        <v>0</v>
      </c>
      <c r="T300" s="461">
        <v>0</v>
      </c>
      <c r="U300" s="461">
        <v>0</v>
      </c>
      <c r="V300" s="461">
        <v>0</v>
      </c>
    </row>
    <row r="301" spans="1:22" s="455" customFormat="1" hidden="1">
      <c r="A301" s="455" t="str">
        <f t="shared" si="8"/>
        <v>11209101101400</v>
      </c>
      <c r="B301" s="455">
        <f>VLOOKUP(LEFT($C$3:$C$2600,3),Table!$D$2:$E$88,2,FALSE)</f>
        <v>0</v>
      </c>
      <c r="C301" s="455" t="str">
        <f t="shared" si="9"/>
        <v>9101101400</v>
      </c>
      <c r="D301" s="455" t="e">
        <f>VLOOKUP(G301,Table!$G$3:$H$21,2,FALSE)</f>
        <v>#N/A</v>
      </c>
      <c r="E301" s="452" t="s">
        <v>902</v>
      </c>
      <c r="F301" s="452" t="s">
        <v>1162</v>
      </c>
      <c r="G301" s="452" t="s">
        <v>1075</v>
      </c>
      <c r="H301" s="452" t="s">
        <v>1076</v>
      </c>
      <c r="I301" s="453" t="s">
        <v>844</v>
      </c>
      <c r="J301" s="453">
        <v>10444</v>
      </c>
      <c r="K301" s="461">
        <v>2987</v>
      </c>
      <c r="L301" s="461">
        <v>3671</v>
      </c>
      <c r="M301" s="461">
        <v>3786</v>
      </c>
      <c r="N301" s="461">
        <v>0</v>
      </c>
      <c r="O301" s="461">
        <v>0</v>
      </c>
      <c r="P301" s="461">
        <v>0</v>
      </c>
      <c r="Q301" s="461">
        <v>0</v>
      </c>
      <c r="R301" s="461">
        <v>0</v>
      </c>
      <c r="S301" s="461">
        <v>0</v>
      </c>
      <c r="T301" s="461">
        <v>0</v>
      </c>
      <c r="U301" s="461">
        <v>0</v>
      </c>
      <c r="V301" s="461">
        <v>0</v>
      </c>
    </row>
    <row r="302" spans="1:22" s="455" customFormat="1" hidden="1">
      <c r="A302" s="455" t="str">
        <f t="shared" si="8"/>
        <v>11209101101410</v>
      </c>
      <c r="B302" s="455">
        <f>VLOOKUP(LEFT($C$3:$C$2600,3),Table!$D$2:$E$88,2,FALSE)</f>
        <v>0</v>
      </c>
      <c r="C302" s="455" t="str">
        <f t="shared" si="9"/>
        <v>9101101410</v>
      </c>
      <c r="D302" s="455" t="e">
        <f>VLOOKUP(G302,Table!$G$3:$H$21,2,FALSE)</f>
        <v>#N/A</v>
      </c>
      <c r="E302" s="452" t="s">
        <v>902</v>
      </c>
      <c r="F302" s="452" t="s">
        <v>1162</v>
      </c>
      <c r="G302" s="452" t="s">
        <v>1077</v>
      </c>
      <c r="H302" s="452" t="s">
        <v>1078</v>
      </c>
      <c r="I302" s="453" t="s">
        <v>844</v>
      </c>
      <c r="J302" s="453">
        <v>315</v>
      </c>
      <c r="K302" s="461">
        <v>75</v>
      </c>
      <c r="L302" s="461">
        <v>120</v>
      </c>
      <c r="M302" s="461">
        <v>120</v>
      </c>
      <c r="N302" s="461">
        <v>0</v>
      </c>
      <c r="O302" s="461">
        <v>0</v>
      </c>
      <c r="P302" s="461">
        <v>0</v>
      </c>
      <c r="Q302" s="461">
        <v>0</v>
      </c>
      <c r="R302" s="461">
        <v>0</v>
      </c>
      <c r="S302" s="461">
        <v>0</v>
      </c>
      <c r="T302" s="461">
        <v>0</v>
      </c>
      <c r="U302" s="461">
        <v>0</v>
      </c>
      <c r="V302" s="461">
        <v>0</v>
      </c>
    </row>
    <row r="303" spans="1:22" s="455" customFormat="1" hidden="1">
      <c r="A303" s="455" t="str">
        <f t="shared" si="8"/>
        <v>11209101101500</v>
      </c>
      <c r="B303" s="455">
        <f>VLOOKUP(LEFT($C$3:$C$2600,3),Table!$D$2:$E$88,2,FALSE)</f>
        <v>0</v>
      </c>
      <c r="C303" s="455" t="str">
        <f t="shared" si="9"/>
        <v>9101101500</v>
      </c>
      <c r="D303" s="455" t="e">
        <f>VLOOKUP(G303,Table!$G$3:$H$21,2,FALSE)</f>
        <v>#N/A</v>
      </c>
      <c r="E303" s="452" t="s">
        <v>902</v>
      </c>
      <c r="F303" s="452" t="s">
        <v>1162</v>
      </c>
      <c r="G303" s="452" t="s">
        <v>1079</v>
      </c>
      <c r="H303" s="452" t="s">
        <v>1080</v>
      </c>
      <c r="I303" s="453" t="s">
        <v>844</v>
      </c>
      <c r="J303" s="453">
        <v>1631.5</v>
      </c>
      <c r="K303" s="461">
        <v>481.4</v>
      </c>
      <c r="L303" s="461">
        <v>555.75</v>
      </c>
      <c r="M303" s="461">
        <v>594.35</v>
      </c>
      <c r="N303" s="461">
        <v>0</v>
      </c>
      <c r="O303" s="461">
        <v>0</v>
      </c>
      <c r="P303" s="461">
        <v>0</v>
      </c>
      <c r="Q303" s="461">
        <v>0</v>
      </c>
      <c r="R303" s="461">
        <v>0</v>
      </c>
      <c r="S303" s="461">
        <v>0</v>
      </c>
      <c r="T303" s="461">
        <v>0</v>
      </c>
      <c r="U303" s="461">
        <v>0</v>
      </c>
      <c r="V303" s="461">
        <v>0</v>
      </c>
    </row>
    <row r="304" spans="1:22" s="455" customFormat="1" hidden="1">
      <c r="A304" s="455" t="str">
        <f t="shared" si="8"/>
        <v>11209101101600</v>
      </c>
      <c r="B304" s="455">
        <f>VLOOKUP(LEFT($C$3:$C$2600,3),Table!$D$2:$E$88,2,FALSE)</f>
        <v>0</v>
      </c>
      <c r="C304" s="455" t="str">
        <f t="shared" si="9"/>
        <v>9101101600</v>
      </c>
      <c r="D304" s="455" t="e">
        <f>VLOOKUP(G304,Table!$G$3:$H$21,2,FALSE)</f>
        <v>#N/A</v>
      </c>
      <c r="E304" s="452" t="s">
        <v>902</v>
      </c>
      <c r="F304" s="452" t="s">
        <v>1162</v>
      </c>
      <c r="G304" s="452" t="s">
        <v>1081</v>
      </c>
      <c r="H304" s="452" t="s">
        <v>1082</v>
      </c>
      <c r="I304" s="453" t="s">
        <v>844</v>
      </c>
      <c r="J304" s="453">
        <v>16113.52</v>
      </c>
      <c r="K304" s="461">
        <v>4768.22</v>
      </c>
      <c r="L304" s="461">
        <v>5672.65</v>
      </c>
      <c r="M304" s="461">
        <v>5672.65</v>
      </c>
      <c r="N304" s="461">
        <v>0</v>
      </c>
      <c r="O304" s="461">
        <v>0</v>
      </c>
      <c r="P304" s="461">
        <v>0</v>
      </c>
      <c r="Q304" s="461">
        <v>0</v>
      </c>
      <c r="R304" s="461">
        <v>0</v>
      </c>
      <c r="S304" s="461">
        <v>0</v>
      </c>
      <c r="T304" s="461">
        <v>0</v>
      </c>
      <c r="U304" s="461">
        <v>0</v>
      </c>
      <c r="V304" s="461">
        <v>0</v>
      </c>
    </row>
    <row r="305" spans="1:22" s="455" customFormat="1" hidden="1">
      <c r="A305" s="455" t="str">
        <f t="shared" si="8"/>
        <v>11209101101700</v>
      </c>
      <c r="B305" s="455">
        <f>VLOOKUP(LEFT($C$3:$C$2600,3),Table!$D$2:$E$88,2,FALSE)</f>
        <v>0</v>
      </c>
      <c r="C305" s="455" t="str">
        <f t="shared" si="9"/>
        <v>9101101700</v>
      </c>
      <c r="D305" s="455" t="e">
        <f>VLOOKUP(G305,Table!$G$3:$H$21,2,FALSE)</f>
        <v>#N/A</v>
      </c>
      <c r="E305" s="452" t="s">
        <v>902</v>
      </c>
      <c r="F305" s="452" t="s">
        <v>1162</v>
      </c>
      <c r="G305" s="452" t="s">
        <v>1083</v>
      </c>
      <c r="H305" s="452" t="s">
        <v>1084</v>
      </c>
      <c r="I305" s="453" t="s">
        <v>844</v>
      </c>
      <c r="J305" s="453">
        <v>-21563.93</v>
      </c>
      <c r="K305" s="461">
        <v>698.42</v>
      </c>
      <c r="L305" s="461">
        <v>996.24</v>
      </c>
      <c r="M305" s="461">
        <v>4856.33</v>
      </c>
      <c r="N305" s="461">
        <v>0</v>
      </c>
      <c r="O305" s="461">
        <v>0</v>
      </c>
      <c r="P305" s="461">
        <v>0</v>
      </c>
      <c r="Q305" s="461">
        <v>0</v>
      </c>
      <c r="R305" s="461">
        <v>0</v>
      </c>
      <c r="S305" s="461">
        <v>0</v>
      </c>
      <c r="T305" s="461">
        <v>0</v>
      </c>
      <c r="U305" s="461">
        <v>0</v>
      </c>
      <c r="V305" s="461">
        <v>0</v>
      </c>
    </row>
    <row r="306" spans="1:22" s="455" customFormat="1" hidden="1">
      <c r="A306" s="455" t="str">
        <f t="shared" si="8"/>
        <v>11209101101800</v>
      </c>
      <c r="B306" s="455">
        <f>VLOOKUP(LEFT($C$3:$C$2600,3),Table!$D$2:$E$88,2,FALSE)</f>
        <v>0</v>
      </c>
      <c r="C306" s="455" t="str">
        <f t="shared" si="9"/>
        <v>9101101800</v>
      </c>
      <c r="D306" s="455" t="e">
        <f>VLOOKUP(G306,Table!$G$3:$H$21,2,FALSE)</f>
        <v>#N/A</v>
      </c>
      <c r="E306" s="452" t="s">
        <v>902</v>
      </c>
      <c r="F306" s="452" t="s">
        <v>1162</v>
      </c>
      <c r="G306" s="452" t="s">
        <v>1085</v>
      </c>
      <c r="H306" s="452" t="s">
        <v>1086</v>
      </c>
      <c r="I306" s="453" t="s">
        <v>844</v>
      </c>
      <c r="J306" s="453">
        <v>6958.2</v>
      </c>
      <c r="K306" s="461">
        <v>2168.1999999999998</v>
      </c>
      <c r="L306" s="461">
        <v>2347.4</v>
      </c>
      <c r="M306" s="461">
        <v>2442.6</v>
      </c>
      <c r="N306" s="461">
        <v>0</v>
      </c>
      <c r="O306" s="461">
        <v>0</v>
      </c>
      <c r="P306" s="461">
        <v>0</v>
      </c>
      <c r="Q306" s="461">
        <v>0</v>
      </c>
      <c r="R306" s="461">
        <v>0</v>
      </c>
      <c r="S306" s="461">
        <v>0</v>
      </c>
      <c r="T306" s="461">
        <v>0</v>
      </c>
      <c r="U306" s="461">
        <v>0</v>
      </c>
      <c r="V306" s="461">
        <v>0</v>
      </c>
    </row>
    <row r="307" spans="1:22" s="455" customFormat="1" hidden="1">
      <c r="A307" s="455" t="str">
        <f t="shared" si="8"/>
        <v>11209101101900</v>
      </c>
      <c r="B307" s="455">
        <f>VLOOKUP(LEFT($C$3:$C$2600,3),Table!$D$2:$E$88,2,FALSE)</f>
        <v>0</v>
      </c>
      <c r="C307" s="455" t="str">
        <f t="shared" si="9"/>
        <v>9101101900</v>
      </c>
      <c r="D307" s="455" t="e">
        <f>VLOOKUP(G307,Table!$G$3:$H$21,2,FALSE)</f>
        <v>#N/A</v>
      </c>
      <c r="E307" s="452" t="s">
        <v>902</v>
      </c>
      <c r="F307" s="452" t="s">
        <v>1162</v>
      </c>
      <c r="G307" s="452" t="s">
        <v>1087</v>
      </c>
      <c r="H307" s="452" t="s">
        <v>1088</v>
      </c>
      <c r="I307" s="453" t="s">
        <v>844</v>
      </c>
      <c r="J307" s="453">
        <v>772.7</v>
      </c>
      <c r="K307" s="461">
        <v>225.12</v>
      </c>
      <c r="L307" s="461">
        <v>268.64</v>
      </c>
      <c r="M307" s="461">
        <v>278.94</v>
      </c>
      <c r="N307" s="461">
        <v>0</v>
      </c>
      <c r="O307" s="461">
        <v>0</v>
      </c>
      <c r="P307" s="461">
        <v>0</v>
      </c>
      <c r="Q307" s="461">
        <v>0</v>
      </c>
      <c r="R307" s="461">
        <v>0</v>
      </c>
      <c r="S307" s="461">
        <v>0</v>
      </c>
      <c r="T307" s="461">
        <v>0</v>
      </c>
      <c r="U307" s="461">
        <v>0</v>
      </c>
      <c r="V307" s="461">
        <v>0</v>
      </c>
    </row>
    <row r="308" spans="1:22" s="455" customFormat="1" hidden="1">
      <c r="A308" s="455" t="str">
        <f t="shared" si="8"/>
        <v>11209101201000</v>
      </c>
      <c r="B308" s="455">
        <f>VLOOKUP(LEFT($C$3:$C$2600,3),Table!$D$2:$E$88,2,FALSE)</f>
        <v>0</v>
      </c>
      <c r="C308" s="455" t="str">
        <f t="shared" si="9"/>
        <v>9101201000</v>
      </c>
      <c r="D308" s="455" t="e">
        <f>VLOOKUP(G308,Table!$G$3:$H$21,2,FALSE)</f>
        <v>#N/A</v>
      </c>
      <c r="E308" s="452" t="s">
        <v>902</v>
      </c>
      <c r="F308" s="452" t="s">
        <v>1162</v>
      </c>
      <c r="G308" s="452" t="s">
        <v>1091</v>
      </c>
      <c r="H308" s="452" t="s">
        <v>1092</v>
      </c>
      <c r="I308" s="453" t="s">
        <v>844</v>
      </c>
      <c r="J308" s="453">
        <v>470165</v>
      </c>
      <c r="K308" s="461">
        <v>139179</v>
      </c>
      <c r="L308" s="461">
        <v>149823</v>
      </c>
      <c r="M308" s="461">
        <v>181163</v>
      </c>
      <c r="N308" s="461">
        <v>0</v>
      </c>
      <c r="O308" s="461">
        <v>0</v>
      </c>
      <c r="P308" s="461">
        <v>0</v>
      </c>
      <c r="Q308" s="461">
        <v>0</v>
      </c>
      <c r="R308" s="461">
        <v>0</v>
      </c>
      <c r="S308" s="461">
        <v>0</v>
      </c>
      <c r="T308" s="461">
        <v>0</v>
      </c>
      <c r="U308" s="461">
        <v>0</v>
      </c>
      <c r="V308" s="461">
        <v>0</v>
      </c>
    </row>
    <row r="309" spans="1:22" s="455" customFormat="1" hidden="1">
      <c r="A309" s="455" t="str">
        <f t="shared" si="8"/>
        <v>11209101301000</v>
      </c>
      <c r="B309" s="455">
        <f>VLOOKUP(LEFT($C$3:$C$2600,3),Table!$D$2:$E$88,2,FALSE)</f>
        <v>0</v>
      </c>
      <c r="C309" s="455" t="str">
        <f t="shared" si="9"/>
        <v>9101301000</v>
      </c>
      <c r="D309" s="455" t="e">
        <f>VLOOKUP(G309,Table!$G$3:$H$21,2,FALSE)</f>
        <v>#N/A</v>
      </c>
      <c r="E309" s="452" t="s">
        <v>902</v>
      </c>
      <c r="F309" s="452" t="s">
        <v>1162</v>
      </c>
      <c r="G309" s="452" t="s">
        <v>967</v>
      </c>
      <c r="H309" s="452" t="s">
        <v>968</v>
      </c>
      <c r="I309" s="453" t="s">
        <v>844</v>
      </c>
      <c r="J309" s="453">
        <v>6991.2</v>
      </c>
      <c r="K309" s="461">
        <v>0</v>
      </c>
      <c r="L309" s="461">
        <v>1591.2</v>
      </c>
      <c r="M309" s="461">
        <v>5400</v>
      </c>
      <c r="N309" s="461">
        <v>0</v>
      </c>
      <c r="O309" s="461">
        <v>0</v>
      </c>
      <c r="P309" s="461">
        <v>0</v>
      </c>
      <c r="Q309" s="461">
        <v>0</v>
      </c>
      <c r="R309" s="461">
        <v>0</v>
      </c>
      <c r="S309" s="461">
        <v>0</v>
      </c>
      <c r="T309" s="461">
        <v>0</v>
      </c>
      <c r="U309" s="461">
        <v>0</v>
      </c>
      <c r="V309" s="461">
        <v>0</v>
      </c>
    </row>
    <row r="310" spans="1:22" s="455" customFormat="1" hidden="1">
      <c r="A310" s="455" t="str">
        <f t="shared" si="8"/>
        <v>11209101301200</v>
      </c>
      <c r="B310" s="455">
        <f>VLOOKUP(LEFT($C$3:$C$2600,3),Table!$D$2:$E$88,2,FALSE)</f>
        <v>0</v>
      </c>
      <c r="C310" s="455" t="str">
        <f t="shared" si="9"/>
        <v>9101301200</v>
      </c>
      <c r="D310" s="455" t="e">
        <f>VLOOKUP(G310,Table!$G$3:$H$21,2,FALSE)</f>
        <v>#N/A</v>
      </c>
      <c r="E310" s="452" t="s">
        <v>902</v>
      </c>
      <c r="F310" s="452" t="s">
        <v>1162</v>
      </c>
      <c r="G310" s="452" t="s">
        <v>969</v>
      </c>
      <c r="H310" s="452" t="s">
        <v>970</v>
      </c>
      <c r="I310" s="453" t="s">
        <v>844</v>
      </c>
      <c r="J310" s="453">
        <v>54468</v>
      </c>
      <c r="K310" s="461">
        <v>17328.400000000001</v>
      </c>
      <c r="L310" s="461">
        <v>16077.5</v>
      </c>
      <c r="M310" s="461">
        <v>21062.1</v>
      </c>
      <c r="N310" s="461">
        <v>0</v>
      </c>
      <c r="O310" s="461">
        <v>0</v>
      </c>
      <c r="P310" s="461">
        <v>0</v>
      </c>
      <c r="Q310" s="461">
        <v>0</v>
      </c>
      <c r="R310" s="461">
        <v>0</v>
      </c>
      <c r="S310" s="461">
        <v>0</v>
      </c>
      <c r="T310" s="461">
        <v>0</v>
      </c>
      <c r="U310" s="461">
        <v>0</v>
      </c>
      <c r="V310" s="461">
        <v>0</v>
      </c>
    </row>
    <row r="311" spans="1:22" s="455" customFormat="1" hidden="1">
      <c r="A311" s="455" t="str">
        <f t="shared" si="8"/>
        <v>11209101301500</v>
      </c>
      <c r="B311" s="455">
        <f>VLOOKUP(LEFT($C$3:$C$2600,3),Table!$D$2:$E$88,2,FALSE)</f>
        <v>0</v>
      </c>
      <c r="C311" s="455" t="str">
        <f t="shared" si="9"/>
        <v>9101301500</v>
      </c>
      <c r="D311" s="455" t="e">
        <f>VLOOKUP(G311,Table!$G$3:$H$21,2,FALSE)</f>
        <v>#N/A</v>
      </c>
      <c r="E311" s="452" t="s">
        <v>902</v>
      </c>
      <c r="F311" s="452" t="s">
        <v>1162</v>
      </c>
      <c r="G311" s="452" t="s">
        <v>971</v>
      </c>
      <c r="H311" s="452" t="s">
        <v>972</v>
      </c>
      <c r="I311" s="453" t="s">
        <v>844</v>
      </c>
      <c r="J311" s="453">
        <v>15439.38</v>
      </c>
      <c r="K311" s="461">
        <v>4292.8</v>
      </c>
      <c r="L311" s="461">
        <v>5625.2</v>
      </c>
      <c r="M311" s="461">
        <v>5521.38</v>
      </c>
      <c r="N311" s="461">
        <v>0</v>
      </c>
      <c r="O311" s="461">
        <v>0</v>
      </c>
      <c r="P311" s="461">
        <v>0</v>
      </c>
      <c r="Q311" s="461">
        <v>0</v>
      </c>
      <c r="R311" s="461">
        <v>0</v>
      </c>
      <c r="S311" s="461">
        <v>0</v>
      </c>
      <c r="T311" s="461">
        <v>0</v>
      </c>
      <c r="U311" s="461">
        <v>0</v>
      </c>
      <c r="V311" s="461">
        <v>0</v>
      </c>
    </row>
    <row r="312" spans="1:22" s="455" customFormat="1" hidden="1">
      <c r="A312" s="455" t="str">
        <f t="shared" si="8"/>
        <v>11209101302500</v>
      </c>
      <c r="B312" s="455">
        <f>VLOOKUP(LEFT($C$3:$C$2600,3),Table!$D$2:$E$88,2,FALSE)</f>
        <v>0</v>
      </c>
      <c r="C312" s="455" t="str">
        <f t="shared" si="9"/>
        <v>9101302500</v>
      </c>
      <c r="D312" s="455" t="e">
        <f>VLOOKUP(G312,Table!$G$3:$H$21,2,FALSE)</f>
        <v>#N/A</v>
      </c>
      <c r="E312" s="452" t="s">
        <v>902</v>
      </c>
      <c r="F312" s="452" t="s">
        <v>1162</v>
      </c>
      <c r="G312" s="452" t="s">
        <v>973</v>
      </c>
      <c r="H312" s="452" t="s">
        <v>974</v>
      </c>
      <c r="I312" s="453" t="s">
        <v>844</v>
      </c>
      <c r="J312" s="453">
        <v>37412</v>
      </c>
      <c r="K312" s="461">
        <v>7126.4</v>
      </c>
      <c r="L312" s="461">
        <v>7607.2</v>
      </c>
      <c r="M312" s="461">
        <v>28448.400000000001</v>
      </c>
      <c r="N312" s="461">
        <v>0</v>
      </c>
      <c r="O312" s="461">
        <v>0</v>
      </c>
      <c r="P312" s="461">
        <v>0</v>
      </c>
      <c r="Q312" s="461">
        <v>0</v>
      </c>
      <c r="R312" s="461">
        <v>0</v>
      </c>
      <c r="S312" s="461">
        <v>0</v>
      </c>
      <c r="T312" s="461">
        <v>0</v>
      </c>
      <c r="U312" s="461">
        <v>0</v>
      </c>
      <c r="V312" s="461">
        <v>0</v>
      </c>
    </row>
    <row r="313" spans="1:22" s="455" customFormat="1" hidden="1">
      <c r="A313" s="455" t="str">
        <f t="shared" si="8"/>
        <v>11209101303800</v>
      </c>
      <c r="B313" s="455">
        <f>VLOOKUP(LEFT($C$3:$C$2600,3),Table!$D$2:$E$88,2,FALSE)</f>
        <v>0</v>
      </c>
      <c r="C313" s="455" t="str">
        <f t="shared" si="9"/>
        <v>9101303800</v>
      </c>
      <c r="D313" s="455" t="e">
        <f>VLOOKUP(G313,Table!$G$3:$H$21,2,FALSE)</f>
        <v>#N/A</v>
      </c>
      <c r="E313" s="452" t="s">
        <v>902</v>
      </c>
      <c r="F313" s="452" t="s">
        <v>1162</v>
      </c>
      <c r="G313" s="452" t="s">
        <v>1163</v>
      </c>
      <c r="H313" s="452" t="s">
        <v>2538</v>
      </c>
      <c r="I313" s="453" t="s">
        <v>844</v>
      </c>
      <c r="J313" s="453">
        <v>139853.79999999999</v>
      </c>
      <c r="K313" s="461">
        <v>55941.599999999999</v>
      </c>
      <c r="L313" s="461">
        <v>49912.2</v>
      </c>
      <c r="M313" s="461">
        <v>34000</v>
      </c>
      <c r="N313" s="461">
        <v>0</v>
      </c>
      <c r="O313" s="461">
        <v>0</v>
      </c>
      <c r="P313" s="461">
        <v>0</v>
      </c>
      <c r="Q313" s="461">
        <v>0</v>
      </c>
      <c r="R313" s="461">
        <v>0</v>
      </c>
      <c r="S313" s="461">
        <v>0</v>
      </c>
      <c r="T313" s="461">
        <v>0</v>
      </c>
      <c r="U313" s="461">
        <v>0</v>
      </c>
      <c r="V313" s="461">
        <v>0</v>
      </c>
    </row>
    <row r="314" spans="1:22" s="455" customFormat="1" hidden="1">
      <c r="A314" s="455" t="str">
        <f t="shared" si="8"/>
        <v>11209101303900</v>
      </c>
      <c r="B314" s="455">
        <f>VLOOKUP(LEFT($C$3:$C$2600,3),Table!$D$2:$E$88,2,FALSE)</f>
        <v>0</v>
      </c>
      <c r="C314" s="455" t="str">
        <f t="shared" si="9"/>
        <v>9101303900</v>
      </c>
      <c r="D314" s="455" t="e">
        <f>VLOOKUP(G314,Table!$G$3:$H$21,2,FALSE)</f>
        <v>#N/A</v>
      </c>
      <c r="E314" s="452" t="s">
        <v>902</v>
      </c>
      <c r="F314" s="452" t="s">
        <v>1162</v>
      </c>
      <c r="G314" s="452" t="s">
        <v>979</v>
      </c>
      <c r="H314" s="452" t="s">
        <v>980</v>
      </c>
      <c r="I314" s="453" t="s">
        <v>844</v>
      </c>
      <c r="J314" s="453">
        <v>10184.02</v>
      </c>
      <c r="K314" s="461">
        <v>3306.38</v>
      </c>
      <c r="L314" s="461">
        <v>3178.89</v>
      </c>
      <c r="M314" s="461">
        <v>3698.75</v>
      </c>
      <c r="N314" s="461">
        <v>0</v>
      </c>
      <c r="O314" s="461">
        <v>0</v>
      </c>
      <c r="P314" s="461">
        <v>0</v>
      </c>
      <c r="Q314" s="461">
        <v>0</v>
      </c>
      <c r="R314" s="461">
        <v>0</v>
      </c>
      <c r="S314" s="461">
        <v>0</v>
      </c>
      <c r="T314" s="461">
        <v>0</v>
      </c>
      <c r="U314" s="461">
        <v>0</v>
      </c>
      <c r="V314" s="461">
        <v>0</v>
      </c>
    </row>
    <row r="315" spans="1:22" s="455" customFormat="1" hidden="1">
      <c r="A315" s="455" t="str">
        <f t="shared" si="8"/>
        <v>11209101306300</v>
      </c>
      <c r="B315" s="455">
        <f>VLOOKUP(LEFT($C$3:$C$2600,3),Table!$D$2:$E$88,2,FALSE)</f>
        <v>0</v>
      </c>
      <c r="C315" s="455" t="str">
        <f t="shared" si="9"/>
        <v>9101306300</v>
      </c>
      <c r="D315" s="455" t="e">
        <f>VLOOKUP(G315,Table!$G$3:$H$21,2,FALSE)</f>
        <v>#N/A</v>
      </c>
      <c r="E315" s="452" t="s">
        <v>902</v>
      </c>
      <c r="F315" s="452" t="s">
        <v>1162</v>
      </c>
      <c r="G315" s="452" t="s">
        <v>1164</v>
      </c>
      <c r="H315" s="452" t="s">
        <v>1165</v>
      </c>
      <c r="I315" s="453" t="s">
        <v>844</v>
      </c>
      <c r="J315" s="453">
        <v>18383</v>
      </c>
      <c r="K315" s="461">
        <v>6202</v>
      </c>
      <c r="L315" s="461">
        <v>3928</v>
      </c>
      <c r="M315" s="461">
        <v>7638</v>
      </c>
      <c r="N315" s="461">
        <v>0</v>
      </c>
      <c r="O315" s="461">
        <v>0</v>
      </c>
      <c r="P315" s="461">
        <v>0</v>
      </c>
      <c r="Q315" s="461">
        <v>0</v>
      </c>
      <c r="R315" s="461">
        <v>0</v>
      </c>
      <c r="S315" s="461">
        <v>0</v>
      </c>
      <c r="T315" s="461">
        <v>0</v>
      </c>
      <c r="U315" s="461">
        <v>0</v>
      </c>
      <c r="V315" s="461">
        <v>0</v>
      </c>
    </row>
    <row r="316" spans="1:22" s="455" customFormat="1" hidden="1">
      <c r="A316" s="455" t="str">
        <f t="shared" si="8"/>
        <v>11209150801000</v>
      </c>
      <c r="B316" s="455">
        <f>VLOOKUP(LEFT($C$3:$C$2600,3),Table!$D$2:$E$88,2,FALSE)</f>
        <v>0</v>
      </c>
      <c r="C316" s="455" t="str">
        <f t="shared" si="9"/>
        <v>9150801000</v>
      </c>
      <c r="D316" s="455" t="e">
        <f>VLOOKUP(G316,Table!$G$3:$H$21,2,FALSE)</f>
        <v>#N/A</v>
      </c>
      <c r="E316" s="452" t="s">
        <v>902</v>
      </c>
      <c r="F316" s="452" t="s">
        <v>1162</v>
      </c>
      <c r="G316" s="452" t="s">
        <v>993</v>
      </c>
      <c r="H316" s="452" t="s">
        <v>994</v>
      </c>
      <c r="I316" s="453" t="s">
        <v>844</v>
      </c>
      <c r="J316" s="453">
        <v>38915</v>
      </c>
      <c r="K316" s="461">
        <v>12105</v>
      </c>
      <c r="L316" s="461">
        <v>12705</v>
      </c>
      <c r="M316" s="461">
        <v>14105</v>
      </c>
      <c r="N316" s="461">
        <v>0</v>
      </c>
      <c r="O316" s="461">
        <v>0</v>
      </c>
      <c r="P316" s="461">
        <v>0</v>
      </c>
      <c r="Q316" s="461">
        <v>0</v>
      </c>
      <c r="R316" s="461">
        <v>0</v>
      </c>
      <c r="S316" s="461">
        <v>0</v>
      </c>
      <c r="T316" s="461">
        <v>0</v>
      </c>
      <c r="U316" s="461">
        <v>0</v>
      </c>
      <c r="V316" s="461">
        <v>0</v>
      </c>
    </row>
    <row r="317" spans="1:22" s="455" customFormat="1" hidden="1">
      <c r="A317" s="455" t="str">
        <f t="shared" si="8"/>
        <v>11209150801200</v>
      </c>
      <c r="B317" s="455">
        <f>VLOOKUP(LEFT($C$3:$C$2600,3),Table!$D$2:$E$88,2,FALSE)</f>
        <v>0</v>
      </c>
      <c r="C317" s="455" t="str">
        <f t="shared" si="9"/>
        <v>9150801200</v>
      </c>
      <c r="D317" s="455" t="e">
        <f>VLOOKUP(G317,Table!$G$3:$H$21,2,FALSE)</f>
        <v>#N/A</v>
      </c>
      <c r="E317" s="452" t="s">
        <v>902</v>
      </c>
      <c r="F317" s="452" t="s">
        <v>1162</v>
      </c>
      <c r="G317" s="452" t="s">
        <v>995</v>
      </c>
      <c r="H317" s="452" t="s">
        <v>996</v>
      </c>
      <c r="I317" s="453" t="s">
        <v>844</v>
      </c>
      <c r="J317" s="453">
        <v>1337.4</v>
      </c>
      <c r="K317" s="461">
        <v>445.8</v>
      </c>
      <c r="L317" s="461">
        <v>445.8</v>
      </c>
      <c r="M317" s="461">
        <v>445.8</v>
      </c>
      <c r="N317" s="461">
        <v>0</v>
      </c>
      <c r="O317" s="461">
        <v>0</v>
      </c>
      <c r="P317" s="461">
        <v>0</v>
      </c>
      <c r="Q317" s="461">
        <v>0</v>
      </c>
      <c r="R317" s="461">
        <v>0</v>
      </c>
      <c r="S317" s="461">
        <v>0</v>
      </c>
      <c r="T317" s="461">
        <v>0</v>
      </c>
      <c r="U317" s="461">
        <v>0</v>
      </c>
      <c r="V317" s="461">
        <v>0</v>
      </c>
    </row>
    <row r="318" spans="1:22" s="455" customFormat="1" hidden="1">
      <c r="A318" s="455" t="str">
        <f t="shared" si="8"/>
        <v>11209150801400</v>
      </c>
      <c r="B318" s="455">
        <f>VLOOKUP(LEFT($C$3:$C$2600,3),Table!$D$2:$E$88,2,FALSE)</f>
        <v>0</v>
      </c>
      <c r="C318" s="455" t="str">
        <f t="shared" si="9"/>
        <v>9150801400</v>
      </c>
      <c r="D318" s="455" t="e">
        <f>VLOOKUP(G318,Table!$G$3:$H$21,2,FALSE)</f>
        <v>#N/A</v>
      </c>
      <c r="E318" s="452" t="s">
        <v>902</v>
      </c>
      <c r="F318" s="452" t="s">
        <v>1162</v>
      </c>
      <c r="G318" s="452" t="s">
        <v>997</v>
      </c>
      <c r="H318" s="452" t="s">
        <v>998</v>
      </c>
      <c r="I318" s="453" t="s">
        <v>844</v>
      </c>
      <c r="J318" s="453">
        <v>5745</v>
      </c>
      <c r="K318" s="461">
        <v>1811</v>
      </c>
      <c r="L318" s="461">
        <v>1883</v>
      </c>
      <c r="M318" s="461">
        <v>2051</v>
      </c>
      <c r="N318" s="461">
        <v>0</v>
      </c>
      <c r="O318" s="461">
        <v>0</v>
      </c>
      <c r="P318" s="461">
        <v>0</v>
      </c>
      <c r="Q318" s="461">
        <v>0</v>
      </c>
      <c r="R318" s="461">
        <v>0</v>
      </c>
      <c r="S318" s="461">
        <v>0</v>
      </c>
      <c r="T318" s="461">
        <v>0</v>
      </c>
      <c r="U318" s="461">
        <v>0</v>
      </c>
      <c r="V318" s="461">
        <v>0</v>
      </c>
    </row>
    <row r="319" spans="1:22" s="455" customFormat="1" hidden="1">
      <c r="A319" s="455" t="str">
        <f t="shared" si="8"/>
        <v>11209150801500</v>
      </c>
      <c r="B319" s="455">
        <f>VLOOKUP(LEFT($C$3:$C$2600,3),Table!$D$2:$E$88,2,FALSE)</f>
        <v>0</v>
      </c>
      <c r="C319" s="455" t="str">
        <f t="shared" si="9"/>
        <v>9150801500</v>
      </c>
      <c r="D319" s="455" t="e">
        <f>VLOOKUP(G319,Table!$G$3:$H$21,2,FALSE)</f>
        <v>#N/A</v>
      </c>
      <c r="E319" s="452" t="s">
        <v>902</v>
      </c>
      <c r="F319" s="452" t="s">
        <v>1162</v>
      </c>
      <c r="G319" s="452" t="s">
        <v>999</v>
      </c>
      <c r="H319" s="452" t="s">
        <v>1000</v>
      </c>
      <c r="I319" s="453" t="s">
        <v>844</v>
      </c>
      <c r="J319" s="453">
        <v>479.7</v>
      </c>
      <c r="K319" s="461">
        <v>146.15</v>
      </c>
      <c r="L319" s="461">
        <v>154.94999999999999</v>
      </c>
      <c r="M319" s="461">
        <v>178.6</v>
      </c>
      <c r="N319" s="461">
        <v>0</v>
      </c>
      <c r="O319" s="461">
        <v>0</v>
      </c>
      <c r="P319" s="461">
        <v>0</v>
      </c>
      <c r="Q319" s="461">
        <v>0</v>
      </c>
      <c r="R319" s="461">
        <v>0</v>
      </c>
      <c r="S319" s="461">
        <v>0</v>
      </c>
      <c r="T319" s="461">
        <v>0</v>
      </c>
      <c r="U319" s="461">
        <v>0</v>
      </c>
      <c r="V319" s="461">
        <v>0</v>
      </c>
    </row>
    <row r="320" spans="1:22" s="455" customFormat="1" hidden="1">
      <c r="A320" s="455" t="str">
        <f t="shared" si="8"/>
        <v>11209150801600</v>
      </c>
      <c r="B320" s="455">
        <f>VLOOKUP(LEFT($C$3:$C$2600,3),Table!$D$2:$E$88,2,FALSE)</f>
        <v>0</v>
      </c>
      <c r="C320" s="455" t="str">
        <f t="shared" si="9"/>
        <v>9150801600</v>
      </c>
      <c r="D320" s="455" t="e">
        <f>VLOOKUP(G320,Table!$G$3:$H$21,2,FALSE)</f>
        <v>#N/A</v>
      </c>
      <c r="E320" s="452" t="s">
        <v>902</v>
      </c>
      <c r="F320" s="452" t="s">
        <v>1162</v>
      </c>
      <c r="G320" s="452" t="s">
        <v>1001</v>
      </c>
      <c r="H320" s="452" t="s">
        <v>1002</v>
      </c>
      <c r="I320" s="453" t="s">
        <v>844</v>
      </c>
      <c r="J320" s="453">
        <v>11126</v>
      </c>
      <c r="K320" s="461">
        <v>3971</v>
      </c>
      <c r="L320" s="461">
        <v>3971</v>
      </c>
      <c r="M320" s="461">
        <v>3184</v>
      </c>
      <c r="N320" s="461">
        <v>0</v>
      </c>
      <c r="O320" s="461">
        <v>0</v>
      </c>
      <c r="P320" s="461">
        <v>0</v>
      </c>
      <c r="Q320" s="461">
        <v>0</v>
      </c>
      <c r="R320" s="461">
        <v>0</v>
      </c>
      <c r="S320" s="461">
        <v>0</v>
      </c>
      <c r="T320" s="461">
        <v>0</v>
      </c>
      <c r="U320" s="461">
        <v>0</v>
      </c>
      <c r="V320" s="461">
        <v>0</v>
      </c>
    </row>
    <row r="321" spans="1:22" s="455" customFormat="1" hidden="1">
      <c r="A321" s="455" t="str">
        <f t="shared" si="8"/>
        <v>11209150801800</v>
      </c>
      <c r="B321" s="455">
        <f>VLOOKUP(LEFT($C$3:$C$2600,3),Table!$D$2:$E$88,2,FALSE)</f>
        <v>0</v>
      </c>
      <c r="C321" s="455" t="str">
        <f t="shared" si="9"/>
        <v>9150801800</v>
      </c>
      <c r="D321" s="455" t="e">
        <f>VLOOKUP(G321,Table!$G$3:$H$21,2,FALSE)</f>
        <v>#N/A</v>
      </c>
      <c r="E321" s="452" t="s">
        <v>902</v>
      </c>
      <c r="F321" s="452" t="s">
        <v>1162</v>
      </c>
      <c r="G321" s="452" t="s">
        <v>1004</v>
      </c>
      <c r="H321" s="452" t="s">
        <v>1005</v>
      </c>
      <c r="I321" s="453" t="s">
        <v>844</v>
      </c>
      <c r="J321" s="453">
        <v>1305</v>
      </c>
      <c r="K321" s="461">
        <v>440</v>
      </c>
      <c r="L321" s="461">
        <v>497.5</v>
      </c>
      <c r="M321" s="461">
        <v>367.5</v>
      </c>
      <c r="N321" s="461">
        <v>0</v>
      </c>
      <c r="O321" s="461">
        <v>0</v>
      </c>
      <c r="P321" s="461">
        <v>0</v>
      </c>
      <c r="Q321" s="461">
        <v>0</v>
      </c>
      <c r="R321" s="461">
        <v>0</v>
      </c>
      <c r="S321" s="461">
        <v>0</v>
      </c>
      <c r="T321" s="461">
        <v>0</v>
      </c>
      <c r="U321" s="461">
        <v>0</v>
      </c>
      <c r="V321" s="461">
        <v>0</v>
      </c>
    </row>
    <row r="322" spans="1:22" s="455" customFormat="1" hidden="1">
      <c r="A322" s="455" t="str">
        <f t="shared" si="8"/>
        <v>11209150801900</v>
      </c>
      <c r="B322" s="455">
        <f>VLOOKUP(LEFT($C$3:$C$2600,3),Table!$D$2:$E$88,2,FALSE)</f>
        <v>0</v>
      </c>
      <c r="C322" s="455" t="str">
        <f t="shared" si="9"/>
        <v>9150801900</v>
      </c>
      <c r="D322" s="455" t="e">
        <f>VLOOKUP(G322,Table!$G$3:$H$21,2,FALSE)</f>
        <v>#N/A</v>
      </c>
      <c r="E322" s="452" t="s">
        <v>902</v>
      </c>
      <c r="F322" s="452" t="s">
        <v>1162</v>
      </c>
      <c r="G322" s="452" t="s">
        <v>1006</v>
      </c>
      <c r="H322" s="452" t="s">
        <v>1007</v>
      </c>
      <c r="I322" s="453" t="s">
        <v>844</v>
      </c>
      <c r="J322" s="453">
        <v>383.15</v>
      </c>
      <c r="K322" s="461">
        <v>121.05</v>
      </c>
      <c r="L322" s="461">
        <v>121.05</v>
      </c>
      <c r="M322" s="461">
        <v>141.05000000000001</v>
      </c>
      <c r="N322" s="461">
        <v>0</v>
      </c>
      <c r="O322" s="461">
        <v>0</v>
      </c>
      <c r="P322" s="461">
        <v>0</v>
      </c>
      <c r="Q322" s="461">
        <v>0</v>
      </c>
      <c r="R322" s="461">
        <v>0</v>
      </c>
      <c r="S322" s="461">
        <v>0</v>
      </c>
      <c r="T322" s="461">
        <v>0</v>
      </c>
      <c r="U322" s="461">
        <v>0</v>
      </c>
      <c r="V322" s="461">
        <v>0</v>
      </c>
    </row>
    <row r="323" spans="1:22" s="455" customFormat="1" hidden="1">
      <c r="A323" s="455" t="str">
        <f t="shared" si="8"/>
        <v>11209151501100</v>
      </c>
      <c r="B323" s="455">
        <f>VLOOKUP(LEFT($C$3:$C$2600,3),Table!$D$2:$E$88,2,FALSE)</f>
        <v>0</v>
      </c>
      <c r="C323" s="455" t="str">
        <f t="shared" si="9"/>
        <v>9151501100</v>
      </c>
      <c r="D323" s="455" t="e">
        <f>VLOOKUP(G323,Table!$G$3:$H$21,2,FALSE)</f>
        <v>#N/A</v>
      </c>
      <c r="E323" s="452" t="s">
        <v>902</v>
      </c>
      <c r="F323" s="452" t="s">
        <v>1162</v>
      </c>
      <c r="G323" s="452" t="s">
        <v>1009</v>
      </c>
      <c r="H323" s="452" t="s">
        <v>1010</v>
      </c>
      <c r="I323" s="453" t="s">
        <v>844</v>
      </c>
      <c r="J323" s="453">
        <v>390</v>
      </c>
      <c r="K323" s="461">
        <v>210</v>
      </c>
      <c r="L323" s="461">
        <v>180</v>
      </c>
      <c r="M323" s="461">
        <v>120</v>
      </c>
      <c r="N323" s="461">
        <v>0</v>
      </c>
      <c r="O323" s="461">
        <v>0</v>
      </c>
      <c r="P323" s="461">
        <v>0</v>
      </c>
      <c r="Q323" s="461">
        <v>0</v>
      </c>
      <c r="R323" s="461">
        <v>0</v>
      </c>
      <c r="S323" s="461">
        <v>0</v>
      </c>
      <c r="T323" s="461">
        <v>0</v>
      </c>
      <c r="U323" s="461">
        <v>0</v>
      </c>
      <c r="V323" s="461">
        <v>0</v>
      </c>
    </row>
    <row r="324" spans="1:22" s="455" customFormat="1" hidden="1">
      <c r="A324" s="455" t="str">
        <f t="shared" ref="A324:A387" si="10">F324&amp;G324</f>
        <v>11209151501400</v>
      </c>
      <c r="B324" s="455">
        <f>VLOOKUP(LEFT($C$3:$C$2600,3),Table!$D$2:$E$88,2,FALSE)</f>
        <v>0</v>
      </c>
      <c r="C324" s="455" t="str">
        <f t="shared" ref="C324:C387" si="11">IF(ISNA(D324),G324,D324)</f>
        <v>9151501400</v>
      </c>
      <c r="D324" s="455" t="e">
        <f>VLOOKUP(G324,Table!$G$3:$H$21,2,FALSE)</f>
        <v>#N/A</v>
      </c>
      <c r="E324" s="452" t="s">
        <v>902</v>
      </c>
      <c r="F324" s="452" t="s">
        <v>1162</v>
      </c>
      <c r="G324" s="452" t="s">
        <v>1011</v>
      </c>
      <c r="H324" s="452" t="s">
        <v>1012</v>
      </c>
      <c r="I324" s="453" t="s">
        <v>844</v>
      </c>
      <c r="J324" s="453">
        <v>19.2</v>
      </c>
      <c r="K324" s="461">
        <v>19.2</v>
      </c>
      <c r="L324" s="461">
        <v>0</v>
      </c>
      <c r="M324" s="461">
        <v>0</v>
      </c>
      <c r="N324" s="461">
        <v>0</v>
      </c>
      <c r="O324" s="461">
        <v>0</v>
      </c>
      <c r="P324" s="461">
        <v>0</v>
      </c>
      <c r="Q324" s="461">
        <v>0</v>
      </c>
      <c r="R324" s="461">
        <v>0</v>
      </c>
      <c r="S324" s="461">
        <v>0</v>
      </c>
      <c r="T324" s="461">
        <v>0</v>
      </c>
      <c r="U324" s="461">
        <v>0</v>
      </c>
      <c r="V324" s="461">
        <v>0</v>
      </c>
    </row>
    <row r="325" spans="1:22" s="455" customFormat="1" hidden="1">
      <c r="A325" s="455" t="str">
        <f t="shared" si="10"/>
        <v>11209151601000</v>
      </c>
      <c r="B325" s="455">
        <f>VLOOKUP(LEFT($C$3:$C$2600,3),Table!$D$2:$E$88,2,FALSE)</f>
        <v>0</v>
      </c>
      <c r="C325" s="455" t="str">
        <f t="shared" si="11"/>
        <v>9151601000</v>
      </c>
      <c r="D325" s="455" t="e">
        <f>VLOOKUP(G325,Table!$G$3:$H$21,2,FALSE)</f>
        <v>#N/A</v>
      </c>
      <c r="E325" s="452" t="s">
        <v>902</v>
      </c>
      <c r="F325" s="452" t="s">
        <v>1162</v>
      </c>
      <c r="G325" s="452" t="s">
        <v>1013</v>
      </c>
      <c r="H325" s="452" t="s">
        <v>1014</v>
      </c>
      <c r="I325" s="453" t="s">
        <v>844</v>
      </c>
      <c r="J325" s="453">
        <v>62</v>
      </c>
      <c r="K325" s="461">
        <v>0</v>
      </c>
      <c r="L325" s="461">
        <v>62</v>
      </c>
      <c r="M325" s="461">
        <v>0</v>
      </c>
      <c r="N325" s="461">
        <v>0</v>
      </c>
      <c r="O325" s="461">
        <v>0</v>
      </c>
      <c r="P325" s="461">
        <v>0</v>
      </c>
      <c r="Q325" s="461">
        <v>0</v>
      </c>
      <c r="R325" s="461">
        <v>0</v>
      </c>
      <c r="S325" s="461">
        <v>0</v>
      </c>
      <c r="T325" s="461">
        <v>0</v>
      </c>
      <c r="U325" s="461">
        <v>0</v>
      </c>
      <c r="V325" s="461">
        <v>0</v>
      </c>
    </row>
    <row r="326" spans="1:22" s="455" customFormat="1" hidden="1">
      <c r="A326" s="455" t="str">
        <f t="shared" si="10"/>
        <v>11209151601001</v>
      </c>
      <c r="B326" s="455">
        <f>VLOOKUP(LEFT($C$3:$C$2600,3),Table!$D$2:$E$88,2,FALSE)</f>
        <v>0</v>
      </c>
      <c r="C326" s="455" t="str">
        <f t="shared" si="11"/>
        <v>9151601001</v>
      </c>
      <c r="D326" s="455" t="e">
        <f>VLOOKUP(G326,Table!$G$3:$H$21,2,FALSE)</f>
        <v>#N/A</v>
      </c>
      <c r="E326" s="452" t="s">
        <v>902</v>
      </c>
      <c r="F326" s="452" t="s">
        <v>1162</v>
      </c>
      <c r="G326" s="452" t="s">
        <v>1015</v>
      </c>
      <c r="H326" s="452" t="s">
        <v>1016</v>
      </c>
      <c r="I326" s="453" t="s">
        <v>844</v>
      </c>
      <c r="J326" s="453">
        <v>2271</v>
      </c>
      <c r="K326" s="461">
        <v>861</v>
      </c>
      <c r="L326" s="461">
        <v>1011.5</v>
      </c>
      <c r="M326" s="461">
        <v>398.5</v>
      </c>
      <c r="N326" s="461">
        <v>0</v>
      </c>
      <c r="O326" s="461">
        <v>0</v>
      </c>
      <c r="P326" s="461">
        <v>0</v>
      </c>
      <c r="Q326" s="461">
        <v>0</v>
      </c>
      <c r="R326" s="461">
        <v>0</v>
      </c>
      <c r="S326" s="461">
        <v>0</v>
      </c>
      <c r="T326" s="461">
        <v>0</v>
      </c>
      <c r="U326" s="461">
        <v>0</v>
      </c>
      <c r="V326" s="461">
        <v>0</v>
      </c>
    </row>
    <row r="327" spans="1:22" s="455" customFormat="1" hidden="1">
      <c r="A327" s="455" t="str">
        <f t="shared" si="10"/>
        <v>11209152010211</v>
      </c>
      <c r="B327" s="455">
        <f>VLOOKUP(LEFT($C$3:$C$2600,3),Table!$D$2:$E$88,2,FALSE)</f>
        <v>0</v>
      </c>
      <c r="C327" s="455" t="str">
        <f t="shared" si="11"/>
        <v>9152010211</v>
      </c>
      <c r="D327" s="455" t="e">
        <f>VLOOKUP(G327,Table!$G$3:$H$21,2,FALSE)</f>
        <v>#N/A</v>
      </c>
      <c r="E327" s="452" t="s">
        <v>902</v>
      </c>
      <c r="F327" s="452" t="s">
        <v>1162</v>
      </c>
      <c r="G327" s="452" t="s">
        <v>1021</v>
      </c>
      <c r="H327" s="452" t="s">
        <v>1022</v>
      </c>
      <c r="I327" s="453" t="s">
        <v>844</v>
      </c>
      <c r="J327" s="453">
        <v>50732.01</v>
      </c>
      <c r="K327" s="461">
        <v>17444.669999999998</v>
      </c>
      <c r="L327" s="461">
        <v>6542.67</v>
      </c>
      <c r="M327" s="461">
        <v>25394.67</v>
      </c>
      <c r="N327" s="461">
        <v>0</v>
      </c>
      <c r="O327" s="461">
        <v>0</v>
      </c>
      <c r="P327" s="461">
        <v>0</v>
      </c>
      <c r="Q327" s="461">
        <v>0</v>
      </c>
      <c r="R327" s="461">
        <v>0</v>
      </c>
      <c r="S327" s="461">
        <v>0</v>
      </c>
      <c r="T327" s="461">
        <v>0</v>
      </c>
      <c r="U327" s="461">
        <v>0</v>
      </c>
      <c r="V327" s="461">
        <v>0</v>
      </c>
    </row>
    <row r="328" spans="1:22" s="455" customFormat="1" hidden="1">
      <c r="A328" s="455" t="str">
        <f t="shared" si="10"/>
        <v>11209152010271</v>
      </c>
      <c r="B328" s="455">
        <f>VLOOKUP(LEFT($C$3:$C$2600,3),Table!$D$2:$E$88,2,FALSE)</f>
        <v>0</v>
      </c>
      <c r="C328" s="455" t="str">
        <f t="shared" si="11"/>
        <v>9152010271</v>
      </c>
      <c r="D328" s="455" t="e">
        <f>VLOOKUP(G328,Table!$G$3:$H$21,2,FALSE)</f>
        <v>#N/A</v>
      </c>
      <c r="E328" s="452" t="s">
        <v>902</v>
      </c>
      <c r="F328" s="452" t="s">
        <v>1162</v>
      </c>
      <c r="G328" s="452" t="s">
        <v>1170</v>
      </c>
      <c r="H328" s="452" t="s">
        <v>1171</v>
      </c>
      <c r="I328" s="453" t="s">
        <v>844</v>
      </c>
      <c r="J328" s="453">
        <v>150</v>
      </c>
      <c r="K328" s="461">
        <v>150</v>
      </c>
      <c r="L328" s="461">
        <v>0</v>
      </c>
      <c r="M328" s="461">
        <v>0</v>
      </c>
      <c r="N328" s="461">
        <v>0</v>
      </c>
      <c r="O328" s="461">
        <v>0</v>
      </c>
      <c r="P328" s="461">
        <v>0</v>
      </c>
      <c r="Q328" s="461">
        <v>0</v>
      </c>
      <c r="R328" s="461">
        <v>0</v>
      </c>
      <c r="S328" s="461">
        <v>0</v>
      </c>
      <c r="T328" s="461">
        <v>0</v>
      </c>
      <c r="U328" s="461">
        <v>0</v>
      </c>
      <c r="V328" s="461">
        <v>0</v>
      </c>
    </row>
    <row r="329" spans="1:22" s="455" customFormat="1" hidden="1">
      <c r="A329" s="455" t="str">
        <f t="shared" si="10"/>
        <v>11209152010311</v>
      </c>
      <c r="B329" s="455">
        <f>VLOOKUP(LEFT($C$3:$C$2600,3),Table!$D$2:$E$88,2,FALSE)</f>
        <v>0</v>
      </c>
      <c r="C329" s="455" t="str">
        <f t="shared" si="11"/>
        <v>9152010311</v>
      </c>
      <c r="D329" s="455" t="e">
        <f>VLOOKUP(G329,Table!$G$3:$H$21,2,FALSE)</f>
        <v>#N/A</v>
      </c>
      <c r="E329" s="452" t="s">
        <v>902</v>
      </c>
      <c r="F329" s="452" t="s">
        <v>1162</v>
      </c>
      <c r="G329" s="452" t="s">
        <v>1172</v>
      </c>
      <c r="H329" s="452" t="s">
        <v>1173</v>
      </c>
      <c r="I329" s="453" t="s">
        <v>844</v>
      </c>
      <c r="J329" s="453">
        <v>714</v>
      </c>
      <c r="K329" s="461">
        <v>504</v>
      </c>
      <c r="L329" s="461">
        <v>0</v>
      </c>
      <c r="M329" s="461">
        <v>210</v>
      </c>
      <c r="N329" s="461">
        <v>0</v>
      </c>
      <c r="O329" s="461">
        <v>0</v>
      </c>
      <c r="P329" s="461">
        <v>0</v>
      </c>
      <c r="Q329" s="461">
        <v>0</v>
      </c>
      <c r="R329" s="461">
        <v>0</v>
      </c>
      <c r="S329" s="461">
        <v>0</v>
      </c>
      <c r="T329" s="461">
        <v>0</v>
      </c>
      <c r="U329" s="461">
        <v>0</v>
      </c>
      <c r="V329" s="461">
        <v>0</v>
      </c>
    </row>
    <row r="330" spans="1:22" s="455" customFormat="1" hidden="1">
      <c r="A330" s="455" t="str">
        <f t="shared" si="10"/>
        <v>11209152014111</v>
      </c>
      <c r="B330" s="455">
        <f>VLOOKUP(LEFT($C$3:$C$2600,3),Table!$D$2:$E$88,2,FALSE)</f>
        <v>0</v>
      </c>
      <c r="C330" s="455" t="str">
        <f t="shared" si="11"/>
        <v>9152014111</v>
      </c>
      <c r="D330" s="455" t="e">
        <f>VLOOKUP(G330,Table!$G$3:$H$21,2,FALSE)</f>
        <v>#N/A</v>
      </c>
      <c r="E330" s="452" t="s">
        <v>902</v>
      </c>
      <c r="F330" s="452" t="s">
        <v>1162</v>
      </c>
      <c r="G330" s="452" t="s">
        <v>1095</v>
      </c>
      <c r="H330" s="452" t="s">
        <v>1096</v>
      </c>
      <c r="I330" s="453" t="s">
        <v>844</v>
      </c>
      <c r="J330" s="453">
        <v>16</v>
      </c>
      <c r="K330" s="461">
        <v>0</v>
      </c>
      <c r="L330" s="461">
        <v>16</v>
      </c>
      <c r="M330" s="461">
        <v>0</v>
      </c>
      <c r="N330" s="461">
        <v>0</v>
      </c>
      <c r="O330" s="461">
        <v>0</v>
      </c>
      <c r="P330" s="461">
        <v>0</v>
      </c>
      <c r="Q330" s="461">
        <v>0</v>
      </c>
      <c r="R330" s="461">
        <v>0</v>
      </c>
      <c r="S330" s="461">
        <v>0</v>
      </c>
      <c r="T330" s="461">
        <v>0</v>
      </c>
      <c r="U330" s="461">
        <v>0</v>
      </c>
      <c r="V330" s="461">
        <v>0</v>
      </c>
    </row>
    <row r="331" spans="1:22" s="455" customFormat="1" hidden="1">
      <c r="A331" s="455" t="str">
        <f t="shared" si="10"/>
        <v>11209152014311</v>
      </c>
      <c r="B331" s="455">
        <f>VLOOKUP(LEFT($C$3:$C$2600,3),Table!$D$2:$E$88,2,FALSE)</f>
        <v>0</v>
      </c>
      <c r="C331" s="455" t="str">
        <f t="shared" si="11"/>
        <v>9152014311</v>
      </c>
      <c r="D331" s="455" t="e">
        <f>VLOOKUP(G331,Table!$G$3:$H$21,2,FALSE)</f>
        <v>#N/A</v>
      </c>
      <c r="E331" s="452" t="s">
        <v>902</v>
      </c>
      <c r="F331" s="452" t="s">
        <v>1162</v>
      </c>
      <c r="G331" s="452" t="s">
        <v>1174</v>
      </c>
      <c r="H331" s="452" t="s">
        <v>1175</v>
      </c>
      <c r="I331" s="453" t="s">
        <v>844</v>
      </c>
      <c r="J331" s="453">
        <v>5012.3</v>
      </c>
      <c r="K331" s="461">
        <v>2102.8000000000002</v>
      </c>
      <c r="L331" s="461">
        <v>1527.5</v>
      </c>
      <c r="M331" s="461">
        <v>1382</v>
      </c>
      <c r="N331" s="461">
        <v>0</v>
      </c>
      <c r="O331" s="461">
        <v>0</v>
      </c>
      <c r="P331" s="461">
        <v>0</v>
      </c>
      <c r="Q331" s="461">
        <v>0</v>
      </c>
      <c r="R331" s="461">
        <v>0</v>
      </c>
      <c r="S331" s="461">
        <v>0</v>
      </c>
      <c r="T331" s="461">
        <v>0</v>
      </c>
      <c r="U331" s="461">
        <v>0</v>
      </c>
      <c r="V331" s="461">
        <v>0</v>
      </c>
    </row>
    <row r="332" spans="1:22" s="455" customFormat="1" hidden="1">
      <c r="A332" s="455" t="str">
        <f t="shared" si="10"/>
        <v>11209152020111</v>
      </c>
      <c r="B332" s="455">
        <f>VLOOKUP(LEFT($C$3:$C$2600,3),Table!$D$2:$E$88,2,FALSE)</f>
        <v>0</v>
      </c>
      <c r="C332" s="455" t="str">
        <f t="shared" si="11"/>
        <v>9152020111</v>
      </c>
      <c r="D332" s="455" t="e">
        <f>VLOOKUP(G332,Table!$G$3:$H$21,2,FALSE)</f>
        <v>#N/A</v>
      </c>
      <c r="E332" s="452" t="s">
        <v>902</v>
      </c>
      <c r="F332" s="452" t="s">
        <v>1162</v>
      </c>
      <c r="G332" s="452" t="s">
        <v>1176</v>
      </c>
      <c r="H332" s="452" t="s">
        <v>1177</v>
      </c>
      <c r="I332" s="453" t="s">
        <v>844</v>
      </c>
      <c r="J332" s="453">
        <v>28166</v>
      </c>
      <c r="K332" s="461">
        <v>0</v>
      </c>
      <c r="L332" s="461">
        <v>28166</v>
      </c>
      <c r="M332" s="461">
        <v>0</v>
      </c>
      <c r="N332" s="461">
        <v>0</v>
      </c>
      <c r="O332" s="461">
        <v>0</v>
      </c>
      <c r="P332" s="461">
        <v>0</v>
      </c>
      <c r="Q332" s="461">
        <v>0</v>
      </c>
      <c r="R332" s="461">
        <v>0</v>
      </c>
      <c r="S332" s="461">
        <v>0</v>
      </c>
      <c r="T332" s="461">
        <v>0</v>
      </c>
      <c r="U332" s="461">
        <v>0</v>
      </c>
      <c r="V332" s="461">
        <v>0</v>
      </c>
    </row>
    <row r="333" spans="1:22" s="455" customFormat="1" hidden="1">
      <c r="A333" s="455" t="str">
        <f t="shared" si="10"/>
        <v>11209152020171</v>
      </c>
      <c r="B333" s="455">
        <f>VLOOKUP(LEFT($C$3:$C$2600,3),Table!$D$2:$E$88,2,FALSE)</f>
        <v>0</v>
      </c>
      <c r="C333" s="455" t="str">
        <f t="shared" si="11"/>
        <v>9152020171</v>
      </c>
      <c r="D333" s="455" t="e">
        <f>VLOOKUP(G333,Table!$G$3:$H$21,2,FALSE)</f>
        <v>#N/A</v>
      </c>
      <c r="E333" s="452" t="s">
        <v>902</v>
      </c>
      <c r="F333" s="452" t="s">
        <v>1162</v>
      </c>
      <c r="G333" s="452" t="s">
        <v>1178</v>
      </c>
      <c r="H333" s="452" t="s">
        <v>1179</v>
      </c>
      <c r="I333" s="453" t="s">
        <v>844</v>
      </c>
      <c r="J333" s="453">
        <v>2917</v>
      </c>
      <c r="K333" s="461">
        <v>0</v>
      </c>
      <c r="L333" s="461">
        <v>1308</v>
      </c>
      <c r="M333" s="461">
        <v>1609</v>
      </c>
      <c r="N333" s="461">
        <v>0</v>
      </c>
      <c r="O333" s="461">
        <v>0</v>
      </c>
      <c r="P333" s="461">
        <v>0</v>
      </c>
      <c r="Q333" s="461">
        <v>0</v>
      </c>
      <c r="R333" s="461">
        <v>0</v>
      </c>
      <c r="S333" s="461">
        <v>0</v>
      </c>
      <c r="T333" s="461">
        <v>0</v>
      </c>
      <c r="U333" s="461">
        <v>0</v>
      </c>
      <c r="V333" s="461">
        <v>0</v>
      </c>
    </row>
    <row r="334" spans="1:22" s="455" customFormat="1" hidden="1">
      <c r="A334" s="455" t="str">
        <f t="shared" si="10"/>
        <v>11209152020212</v>
      </c>
      <c r="B334" s="455">
        <f>VLOOKUP(LEFT($C$3:$C$2600,3),Table!$D$2:$E$88,2,FALSE)</f>
        <v>0</v>
      </c>
      <c r="C334" s="455" t="str">
        <f t="shared" si="11"/>
        <v>9152020212</v>
      </c>
      <c r="D334" s="455" t="e">
        <f>VLOOKUP(G334,Table!$G$3:$H$21,2,FALSE)</f>
        <v>#N/A</v>
      </c>
      <c r="E334" s="452" t="s">
        <v>902</v>
      </c>
      <c r="F334" s="452" t="s">
        <v>1162</v>
      </c>
      <c r="G334" s="452" t="s">
        <v>1023</v>
      </c>
      <c r="H334" s="452" t="s">
        <v>1024</v>
      </c>
      <c r="I334" s="453" t="s">
        <v>844</v>
      </c>
      <c r="J334" s="453">
        <v>552</v>
      </c>
      <c r="K334" s="461">
        <v>220</v>
      </c>
      <c r="L334" s="461">
        <v>222</v>
      </c>
      <c r="M334" s="461">
        <v>110</v>
      </c>
      <c r="N334" s="461">
        <v>0</v>
      </c>
      <c r="O334" s="461">
        <v>0</v>
      </c>
      <c r="P334" s="461">
        <v>0</v>
      </c>
      <c r="Q334" s="461">
        <v>0</v>
      </c>
      <c r="R334" s="461">
        <v>0</v>
      </c>
      <c r="S334" s="461">
        <v>0</v>
      </c>
      <c r="T334" s="461">
        <v>0</v>
      </c>
      <c r="U334" s="461">
        <v>0</v>
      </c>
      <c r="V334" s="461">
        <v>0</v>
      </c>
    </row>
    <row r="335" spans="1:22" s="455" customFormat="1" hidden="1">
      <c r="A335" s="455" t="str">
        <f t="shared" si="10"/>
        <v>11209152020804</v>
      </c>
      <c r="B335" s="455">
        <f>VLOOKUP(LEFT($C$3:$C$2600,3),Table!$D$2:$E$88,2,FALSE)</f>
        <v>0</v>
      </c>
      <c r="C335" s="455" t="str">
        <f t="shared" si="11"/>
        <v>9152020804</v>
      </c>
      <c r="D335" s="455" t="e">
        <f>VLOOKUP(G335,Table!$G$3:$H$21,2,FALSE)</f>
        <v>#N/A</v>
      </c>
      <c r="E335" s="452" t="s">
        <v>902</v>
      </c>
      <c r="F335" s="452" t="s">
        <v>1162</v>
      </c>
      <c r="G335" s="452" t="s">
        <v>1180</v>
      </c>
      <c r="H335" s="452" t="s">
        <v>1181</v>
      </c>
      <c r="I335" s="453" t="s">
        <v>844</v>
      </c>
      <c r="J335" s="453">
        <v>3675</v>
      </c>
      <c r="K335" s="461">
        <v>54</v>
      </c>
      <c r="L335" s="461">
        <v>405</v>
      </c>
      <c r="M335" s="461">
        <v>3346</v>
      </c>
      <c r="N335" s="461">
        <v>0</v>
      </c>
      <c r="O335" s="461">
        <v>0</v>
      </c>
      <c r="P335" s="461">
        <v>0</v>
      </c>
      <c r="Q335" s="461">
        <v>0</v>
      </c>
      <c r="R335" s="461">
        <v>0</v>
      </c>
      <c r="S335" s="461">
        <v>0</v>
      </c>
      <c r="T335" s="461">
        <v>0</v>
      </c>
      <c r="U335" s="461">
        <v>0</v>
      </c>
      <c r="V335" s="461">
        <v>0</v>
      </c>
    </row>
    <row r="336" spans="1:22" s="455" customFormat="1" hidden="1">
      <c r="A336" s="455" t="str">
        <f t="shared" si="10"/>
        <v>11209152023111</v>
      </c>
      <c r="B336" s="455">
        <f>VLOOKUP(LEFT($C$3:$C$2600,3),Table!$D$2:$E$88,2,FALSE)</f>
        <v>0</v>
      </c>
      <c r="C336" s="455" t="str">
        <f t="shared" si="11"/>
        <v>9152023111</v>
      </c>
      <c r="D336" s="455" t="e">
        <f>VLOOKUP(G336,Table!$G$3:$H$21,2,FALSE)</f>
        <v>#N/A</v>
      </c>
      <c r="E336" s="452" t="s">
        <v>902</v>
      </c>
      <c r="F336" s="452" t="s">
        <v>1162</v>
      </c>
      <c r="G336" s="452" t="s">
        <v>1182</v>
      </c>
      <c r="H336" s="452" t="s">
        <v>1183</v>
      </c>
      <c r="I336" s="453" t="s">
        <v>844</v>
      </c>
      <c r="J336" s="453">
        <v>20374.5</v>
      </c>
      <c r="K336" s="461">
        <v>6116.9</v>
      </c>
      <c r="L336" s="461">
        <v>14367.6</v>
      </c>
      <c r="M336" s="461">
        <v>-110</v>
      </c>
      <c r="N336" s="461">
        <v>0</v>
      </c>
      <c r="O336" s="461">
        <v>0</v>
      </c>
      <c r="P336" s="461">
        <v>0</v>
      </c>
      <c r="Q336" s="461">
        <v>0</v>
      </c>
      <c r="R336" s="461">
        <v>0</v>
      </c>
      <c r="S336" s="461">
        <v>0</v>
      </c>
      <c r="T336" s="461">
        <v>0</v>
      </c>
      <c r="U336" s="461">
        <v>0</v>
      </c>
      <c r="V336" s="461">
        <v>0</v>
      </c>
    </row>
    <row r="337" spans="1:22" s="455" customFormat="1" hidden="1">
      <c r="A337" s="455" t="str">
        <f t="shared" si="10"/>
        <v>11209152050011</v>
      </c>
      <c r="B337" s="455">
        <f>VLOOKUP(LEFT($C$3:$C$2600,3),Table!$D$2:$E$88,2,FALSE)</f>
        <v>0</v>
      </c>
      <c r="C337" s="455" t="str">
        <f t="shared" si="11"/>
        <v>9152050011</v>
      </c>
      <c r="D337" s="455" t="e">
        <f>VLOOKUP(G337,Table!$G$3:$H$21,2,FALSE)</f>
        <v>#N/A</v>
      </c>
      <c r="E337" s="452" t="s">
        <v>902</v>
      </c>
      <c r="F337" s="452" t="s">
        <v>1162</v>
      </c>
      <c r="G337" s="452" t="s">
        <v>1031</v>
      </c>
      <c r="H337" s="452" t="s">
        <v>1032</v>
      </c>
      <c r="I337" s="453" t="s">
        <v>844</v>
      </c>
      <c r="J337" s="453">
        <v>1545</v>
      </c>
      <c r="K337" s="461">
        <v>190</v>
      </c>
      <c r="L337" s="461">
        <v>280</v>
      </c>
      <c r="M337" s="461">
        <v>1075</v>
      </c>
      <c r="N337" s="461">
        <v>0</v>
      </c>
      <c r="O337" s="461">
        <v>0</v>
      </c>
      <c r="P337" s="461">
        <v>0</v>
      </c>
      <c r="Q337" s="461">
        <v>0</v>
      </c>
      <c r="R337" s="461">
        <v>0</v>
      </c>
      <c r="S337" s="461">
        <v>0</v>
      </c>
      <c r="T337" s="461">
        <v>0</v>
      </c>
      <c r="U337" s="461">
        <v>0</v>
      </c>
      <c r="V337" s="461">
        <v>0</v>
      </c>
    </row>
    <row r="338" spans="1:22" s="455" customFormat="1" hidden="1">
      <c r="A338" s="455" t="str">
        <f t="shared" si="10"/>
        <v>11209152062011</v>
      </c>
      <c r="B338" s="455">
        <f>VLOOKUP(LEFT($C$3:$C$2600,3),Table!$D$2:$E$88,2,FALSE)</f>
        <v>0</v>
      </c>
      <c r="C338" s="455" t="str">
        <f t="shared" si="11"/>
        <v>9152062011</v>
      </c>
      <c r="D338" s="455" t="e">
        <f>VLOOKUP(G338,Table!$G$3:$H$21,2,FALSE)</f>
        <v>#N/A</v>
      </c>
      <c r="E338" s="452" t="s">
        <v>902</v>
      </c>
      <c r="F338" s="452" t="s">
        <v>1162</v>
      </c>
      <c r="G338" s="452" t="s">
        <v>1184</v>
      </c>
      <c r="H338" s="452" t="s">
        <v>1185</v>
      </c>
      <c r="I338" s="453" t="s">
        <v>844</v>
      </c>
      <c r="J338" s="453">
        <v>28027.5</v>
      </c>
      <c r="K338" s="461">
        <v>6355.4</v>
      </c>
      <c r="L338" s="461">
        <v>4295</v>
      </c>
      <c r="M338" s="461">
        <v>17670.099999999999</v>
      </c>
      <c r="N338" s="461">
        <v>0</v>
      </c>
      <c r="O338" s="461">
        <v>0</v>
      </c>
      <c r="P338" s="461">
        <v>0</v>
      </c>
      <c r="Q338" s="461">
        <v>0</v>
      </c>
      <c r="R338" s="461">
        <v>0</v>
      </c>
      <c r="S338" s="461">
        <v>0</v>
      </c>
      <c r="T338" s="461">
        <v>0</v>
      </c>
      <c r="U338" s="461">
        <v>0</v>
      </c>
      <c r="V338" s="461">
        <v>0</v>
      </c>
    </row>
    <row r="339" spans="1:22" s="455" customFormat="1" hidden="1">
      <c r="A339" s="455" t="str">
        <f t="shared" si="10"/>
        <v>11209152062021</v>
      </c>
      <c r="B339" s="455">
        <f>VLOOKUP(LEFT($C$3:$C$2600,3),Table!$D$2:$E$88,2,FALSE)</f>
        <v>0</v>
      </c>
      <c r="C339" s="455" t="str">
        <f t="shared" si="11"/>
        <v>9152062021</v>
      </c>
      <c r="D339" s="455" t="e">
        <f>VLOOKUP(G339,Table!$G$3:$H$21,2,FALSE)</f>
        <v>#N/A</v>
      </c>
      <c r="E339" s="452" t="s">
        <v>902</v>
      </c>
      <c r="F339" s="452" t="s">
        <v>1162</v>
      </c>
      <c r="G339" s="452" t="s">
        <v>1186</v>
      </c>
      <c r="H339" s="452" t="s">
        <v>1187</v>
      </c>
      <c r="I339" s="453" t="s">
        <v>844</v>
      </c>
      <c r="J339" s="453">
        <v>18106.45</v>
      </c>
      <c r="K339" s="461">
        <v>7461</v>
      </c>
      <c r="L339" s="461">
        <v>7804.15</v>
      </c>
      <c r="M339" s="461">
        <v>2841.3</v>
      </c>
      <c r="N339" s="461">
        <v>0</v>
      </c>
      <c r="O339" s="461">
        <v>0</v>
      </c>
      <c r="P339" s="461">
        <v>0</v>
      </c>
      <c r="Q339" s="461">
        <v>0</v>
      </c>
      <c r="R339" s="461">
        <v>0</v>
      </c>
      <c r="S339" s="461">
        <v>0</v>
      </c>
      <c r="T339" s="461">
        <v>0</v>
      </c>
      <c r="U339" s="461">
        <v>0</v>
      </c>
      <c r="V339" s="461">
        <v>0</v>
      </c>
    </row>
    <row r="340" spans="1:22" s="455" customFormat="1" hidden="1">
      <c r="A340" s="455" t="str">
        <f t="shared" si="10"/>
        <v>11209152080011</v>
      </c>
      <c r="B340" s="455">
        <f>VLOOKUP(LEFT($C$3:$C$2600,3),Table!$D$2:$E$88,2,FALSE)</f>
        <v>0</v>
      </c>
      <c r="C340" s="455" t="str">
        <f t="shared" si="11"/>
        <v>9152080011</v>
      </c>
      <c r="D340" s="455" t="e">
        <f>VLOOKUP(G340,Table!$G$3:$H$21,2,FALSE)</f>
        <v>#N/A</v>
      </c>
      <c r="E340" s="452" t="s">
        <v>902</v>
      </c>
      <c r="F340" s="452" t="s">
        <v>1162</v>
      </c>
      <c r="G340" s="452" t="s">
        <v>1188</v>
      </c>
      <c r="H340" s="452" t="s">
        <v>1189</v>
      </c>
      <c r="I340" s="453" t="s">
        <v>844</v>
      </c>
      <c r="J340" s="453">
        <v>780</v>
      </c>
      <c r="K340" s="461">
        <v>780</v>
      </c>
      <c r="L340" s="461">
        <v>0</v>
      </c>
      <c r="M340" s="461">
        <v>0</v>
      </c>
      <c r="N340" s="461">
        <v>0</v>
      </c>
      <c r="O340" s="461">
        <v>0</v>
      </c>
      <c r="P340" s="461">
        <v>0</v>
      </c>
      <c r="Q340" s="461">
        <v>0</v>
      </c>
      <c r="R340" s="461">
        <v>0</v>
      </c>
      <c r="S340" s="461">
        <v>0</v>
      </c>
      <c r="T340" s="461">
        <v>0</v>
      </c>
      <c r="U340" s="461">
        <v>0</v>
      </c>
      <c r="V340" s="461">
        <v>0</v>
      </c>
    </row>
    <row r="341" spans="1:22" s="455" customFormat="1" hidden="1">
      <c r="A341" s="455" t="str">
        <f t="shared" si="10"/>
        <v>11209152090000</v>
      </c>
      <c r="B341" s="455">
        <f>VLOOKUP(LEFT($C$3:$C$2600,3),Table!$D$2:$E$88,2,FALSE)</f>
        <v>0</v>
      </c>
      <c r="C341" s="455" t="str">
        <f t="shared" si="11"/>
        <v>9152090000</v>
      </c>
      <c r="D341" s="455" t="e">
        <f>VLOOKUP(G341,Table!$G$3:$H$21,2,FALSE)</f>
        <v>#N/A</v>
      </c>
      <c r="E341" s="452" t="s">
        <v>902</v>
      </c>
      <c r="F341" s="452" t="s">
        <v>1162</v>
      </c>
      <c r="G341" s="452" t="s">
        <v>1033</v>
      </c>
      <c r="H341" s="452" t="s">
        <v>1034</v>
      </c>
      <c r="I341" s="453" t="s">
        <v>844</v>
      </c>
      <c r="J341" s="453">
        <v>13207.1</v>
      </c>
      <c r="K341" s="461">
        <v>518.57000000000005</v>
      </c>
      <c r="L341" s="461">
        <v>7508.53</v>
      </c>
      <c r="M341" s="461">
        <v>5180</v>
      </c>
      <c r="N341" s="461">
        <v>0</v>
      </c>
      <c r="O341" s="461">
        <v>0</v>
      </c>
      <c r="P341" s="461">
        <v>0</v>
      </c>
      <c r="Q341" s="461">
        <v>0</v>
      </c>
      <c r="R341" s="461">
        <v>0</v>
      </c>
      <c r="S341" s="461">
        <v>0</v>
      </c>
      <c r="T341" s="461">
        <v>0</v>
      </c>
      <c r="U341" s="461">
        <v>0</v>
      </c>
      <c r="V341" s="461">
        <v>0</v>
      </c>
    </row>
    <row r="342" spans="1:22" s="455" customFormat="1" hidden="1">
      <c r="A342" s="455" t="str">
        <f t="shared" si="10"/>
        <v>11209152402528</v>
      </c>
      <c r="B342" s="455">
        <f>VLOOKUP(LEFT($C$3:$C$2600,3),Table!$D$2:$E$88,2,FALSE)</f>
        <v>0</v>
      </c>
      <c r="C342" s="455" t="str">
        <f t="shared" si="11"/>
        <v>9152402528</v>
      </c>
      <c r="D342" s="455" t="e">
        <f>VLOOKUP(G342,Table!$G$3:$H$21,2,FALSE)</f>
        <v>#N/A</v>
      </c>
      <c r="E342" s="452" t="s">
        <v>902</v>
      </c>
      <c r="F342" s="452" t="s">
        <v>1162</v>
      </c>
      <c r="G342" s="452" t="s">
        <v>1190</v>
      </c>
      <c r="H342" s="452" t="s">
        <v>1191</v>
      </c>
      <c r="I342" s="453" t="s">
        <v>844</v>
      </c>
      <c r="J342" s="453">
        <v>9400</v>
      </c>
      <c r="K342" s="461">
        <v>2300</v>
      </c>
      <c r="L342" s="461">
        <v>2300</v>
      </c>
      <c r="M342" s="461">
        <v>2400</v>
      </c>
      <c r="N342" s="461">
        <v>0</v>
      </c>
      <c r="O342" s="461">
        <v>0</v>
      </c>
      <c r="P342" s="461">
        <v>0</v>
      </c>
      <c r="Q342" s="461">
        <v>0</v>
      </c>
      <c r="R342" s="461">
        <v>0</v>
      </c>
      <c r="S342" s="461">
        <v>0</v>
      </c>
      <c r="T342" s="461">
        <v>0</v>
      </c>
      <c r="U342" s="461">
        <v>0</v>
      </c>
      <c r="V342" s="461">
        <v>0</v>
      </c>
    </row>
    <row r="343" spans="1:22" s="455" customFormat="1" hidden="1">
      <c r="A343" s="455" t="str">
        <f t="shared" si="10"/>
        <v>11209152801000</v>
      </c>
      <c r="B343" s="455">
        <f>VLOOKUP(LEFT($C$3:$C$2600,3),Table!$D$2:$E$88,2,FALSE)</f>
        <v>0</v>
      </c>
      <c r="C343" s="455" t="str">
        <f t="shared" si="11"/>
        <v>9152801000</v>
      </c>
      <c r="D343" s="455" t="e">
        <f>VLOOKUP(G343,Table!$G$3:$H$21,2,FALSE)</f>
        <v>#N/A</v>
      </c>
      <c r="E343" s="452" t="s">
        <v>902</v>
      </c>
      <c r="F343" s="452" t="s">
        <v>1162</v>
      </c>
      <c r="G343" s="452" t="s">
        <v>1041</v>
      </c>
      <c r="H343" s="452" t="s">
        <v>1042</v>
      </c>
      <c r="I343" s="453" t="s">
        <v>844</v>
      </c>
      <c r="J343" s="453">
        <v>12</v>
      </c>
      <c r="K343" s="461">
        <v>12</v>
      </c>
      <c r="L343" s="461">
        <v>0</v>
      </c>
      <c r="M343" s="461">
        <v>0</v>
      </c>
      <c r="N343" s="461">
        <v>0</v>
      </c>
      <c r="O343" s="461">
        <v>0</v>
      </c>
      <c r="P343" s="461">
        <v>0</v>
      </c>
      <c r="Q343" s="461">
        <v>0</v>
      </c>
      <c r="R343" s="461">
        <v>0</v>
      </c>
      <c r="S343" s="461">
        <v>0</v>
      </c>
      <c r="T343" s="461">
        <v>0</v>
      </c>
      <c r="U343" s="461">
        <v>0</v>
      </c>
      <c r="V343" s="461">
        <v>0</v>
      </c>
    </row>
    <row r="344" spans="1:22" s="455" customFormat="1" hidden="1">
      <c r="A344" s="455" t="str">
        <f t="shared" si="10"/>
        <v>11209153001000</v>
      </c>
      <c r="B344" s="455">
        <f>VLOOKUP(LEFT($C$3:$C$2600,3),Table!$D$2:$E$88,2,FALSE)</f>
        <v>0</v>
      </c>
      <c r="C344" s="455" t="str">
        <f t="shared" si="11"/>
        <v>9153001000</v>
      </c>
      <c r="D344" s="455" t="e">
        <f>VLOOKUP(G344,Table!$G$3:$H$21,2,FALSE)</f>
        <v>#N/A</v>
      </c>
      <c r="E344" s="452" t="s">
        <v>902</v>
      </c>
      <c r="F344" s="452" t="s">
        <v>1162</v>
      </c>
      <c r="G344" s="452" t="s">
        <v>1043</v>
      </c>
      <c r="H344" s="452" t="s">
        <v>1044</v>
      </c>
      <c r="I344" s="453" t="s">
        <v>844</v>
      </c>
      <c r="J344" s="453">
        <v>246201</v>
      </c>
      <c r="K344" s="461">
        <v>83182</v>
      </c>
      <c r="L344" s="461">
        <v>83182</v>
      </c>
      <c r="M344" s="461">
        <v>79837</v>
      </c>
      <c r="N344" s="461">
        <v>0</v>
      </c>
      <c r="O344" s="461">
        <v>0</v>
      </c>
      <c r="P344" s="461">
        <v>0</v>
      </c>
      <c r="Q344" s="461">
        <v>0</v>
      </c>
      <c r="R344" s="461">
        <v>0</v>
      </c>
      <c r="S344" s="461">
        <v>0</v>
      </c>
      <c r="T344" s="461">
        <v>0</v>
      </c>
      <c r="U344" s="461">
        <v>0</v>
      </c>
      <c r="V344" s="461">
        <v>0</v>
      </c>
    </row>
    <row r="345" spans="1:22" s="455" customFormat="1" hidden="1">
      <c r="A345" s="455" t="str">
        <f t="shared" si="10"/>
        <v>11219101101000</v>
      </c>
      <c r="B345" s="455">
        <f>VLOOKUP(LEFT($C$3:$C$2600,3),Table!$D$2:$E$88,2,FALSE)</f>
        <v>0</v>
      </c>
      <c r="C345" s="455" t="str">
        <f t="shared" si="11"/>
        <v>9101101000</v>
      </c>
      <c r="D345" s="455" t="e">
        <f>VLOOKUP(G345,Table!$G$3:$H$21,2,FALSE)</f>
        <v>#N/A</v>
      </c>
      <c r="E345" s="452" t="s">
        <v>902</v>
      </c>
      <c r="F345" s="452" t="s">
        <v>1192</v>
      </c>
      <c r="G345" s="452" t="s">
        <v>1067</v>
      </c>
      <c r="H345" s="452" t="s">
        <v>1068</v>
      </c>
      <c r="I345" s="453" t="s">
        <v>844</v>
      </c>
      <c r="J345" s="453">
        <v>33031.56</v>
      </c>
      <c r="K345" s="461">
        <v>11792.04</v>
      </c>
      <c r="L345" s="461">
        <v>11254.09</v>
      </c>
      <c r="M345" s="461">
        <v>11838.77</v>
      </c>
      <c r="N345" s="461">
        <v>0</v>
      </c>
      <c r="O345" s="461">
        <v>0</v>
      </c>
      <c r="P345" s="461">
        <v>0</v>
      </c>
      <c r="Q345" s="461">
        <v>0</v>
      </c>
      <c r="R345" s="461">
        <v>0</v>
      </c>
      <c r="S345" s="461">
        <v>0</v>
      </c>
      <c r="T345" s="461">
        <v>0</v>
      </c>
      <c r="U345" s="461">
        <v>0</v>
      </c>
      <c r="V345" s="461">
        <v>0</v>
      </c>
    </row>
    <row r="346" spans="1:22" s="455" customFormat="1" hidden="1">
      <c r="A346" s="455" t="str">
        <f t="shared" si="10"/>
        <v>11219101101100</v>
      </c>
      <c r="B346" s="455">
        <f>VLOOKUP(LEFT($C$3:$C$2600,3),Table!$D$2:$E$88,2,FALSE)</f>
        <v>0</v>
      </c>
      <c r="C346" s="455" t="str">
        <f t="shared" si="11"/>
        <v>9101101100</v>
      </c>
      <c r="D346" s="455" t="e">
        <f>VLOOKUP(G346,Table!$G$3:$H$21,2,FALSE)</f>
        <v>#N/A</v>
      </c>
      <c r="E346" s="452" t="s">
        <v>902</v>
      </c>
      <c r="F346" s="452" t="s">
        <v>1192</v>
      </c>
      <c r="G346" s="452" t="s">
        <v>1069</v>
      </c>
      <c r="H346" s="452" t="s">
        <v>1070</v>
      </c>
      <c r="I346" s="453" t="s">
        <v>844</v>
      </c>
      <c r="J346" s="453">
        <v>14703.87</v>
      </c>
      <c r="K346" s="461">
        <v>5318.11</v>
      </c>
      <c r="L346" s="461">
        <v>6545.09</v>
      </c>
      <c r="M346" s="461">
        <v>3620.04</v>
      </c>
      <c r="N346" s="461">
        <v>0</v>
      </c>
      <c r="O346" s="461">
        <v>0</v>
      </c>
      <c r="P346" s="461">
        <v>0</v>
      </c>
      <c r="Q346" s="461">
        <v>0</v>
      </c>
      <c r="R346" s="461">
        <v>0</v>
      </c>
      <c r="S346" s="461">
        <v>0</v>
      </c>
      <c r="T346" s="461">
        <v>0</v>
      </c>
      <c r="U346" s="461">
        <v>0</v>
      </c>
      <c r="V346" s="461">
        <v>0</v>
      </c>
    </row>
    <row r="347" spans="1:22" s="455" customFormat="1" hidden="1">
      <c r="A347" s="455" t="str">
        <f t="shared" si="10"/>
        <v>11219101101200</v>
      </c>
      <c r="B347" s="455">
        <f>VLOOKUP(LEFT($C$3:$C$2600,3),Table!$D$2:$E$88,2,FALSE)</f>
        <v>0</v>
      </c>
      <c r="C347" s="455" t="str">
        <f t="shared" si="11"/>
        <v>9101101200</v>
      </c>
      <c r="D347" s="455" t="e">
        <f>VLOOKUP(G347,Table!$G$3:$H$21,2,FALSE)</f>
        <v>#N/A</v>
      </c>
      <c r="E347" s="452" t="s">
        <v>902</v>
      </c>
      <c r="F347" s="452" t="s">
        <v>1192</v>
      </c>
      <c r="G347" s="452" t="s">
        <v>1071</v>
      </c>
      <c r="H347" s="452" t="s">
        <v>1072</v>
      </c>
      <c r="I347" s="453" t="s">
        <v>844</v>
      </c>
      <c r="J347" s="453">
        <v>4446.3100000000004</v>
      </c>
      <c r="K347" s="461">
        <v>1490.43</v>
      </c>
      <c r="L347" s="461">
        <v>1483.75</v>
      </c>
      <c r="M347" s="461">
        <v>1472.13</v>
      </c>
      <c r="N347" s="461">
        <v>0</v>
      </c>
      <c r="O347" s="461">
        <v>0</v>
      </c>
      <c r="P347" s="461">
        <v>0</v>
      </c>
      <c r="Q347" s="461">
        <v>0</v>
      </c>
      <c r="R347" s="461">
        <v>0</v>
      </c>
      <c r="S347" s="461">
        <v>0</v>
      </c>
      <c r="T347" s="461">
        <v>0</v>
      </c>
      <c r="U347" s="461">
        <v>0</v>
      </c>
      <c r="V347" s="461">
        <v>0</v>
      </c>
    </row>
    <row r="348" spans="1:22" s="455" customFormat="1" hidden="1">
      <c r="A348" s="455" t="str">
        <f t="shared" si="10"/>
        <v>11219101101400</v>
      </c>
      <c r="B348" s="455">
        <f>VLOOKUP(LEFT($C$3:$C$2600,3),Table!$D$2:$E$88,2,FALSE)</f>
        <v>0</v>
      </c>
      <c r="C348" s="455" t="str">
        <f t="shared" si="11"/>
        <v>9101101400</v>
      </c>
      <c r="D348" s="455" t="e">
        <f>VLOOKUP(G348,Table!$G$3:$H$21,2,FALSE)</f>
        <v>#N/A</v>
      </c>
      <c r="E348" s="452" t="s">
        <v>902</v>
      </c>
      <c r="F348" s="452" t="s">
        <v>1192</v>
      </c>
      <c r="G348" s="452" t="s">
        <v>1075</v>
      </c>
      <c r="H348" s="452" t="s">
        <v>1076</v>
      </c>
      <c r="I348" s="453" t="s">
        <v>844</v>
      </c>
      <c r="J348" s="453">
        <v>5880</v>
      </c>
      <c r="K348" s="461">
        <v>1892</v>
      </c>
      <c r="L348" s="461">
        <v>1969</v>
      </c>
      <c r="M348" s="461">
        <v>2019</v>
      </c>
      <c r="N348" s="461">
        <v>0</v>
      </c>
      <c r="O348" s="461">
        <v>0</v>
      </c>
      <c r="P348" s="461">
        <v>0</v>
      </c>
      <c r="Q348" s="461">
        <v>0</v>
      </c>
      <c r="R348" s="461">
        <v>0</v>
      </c>
      <c r="S348" s="461">
        <v>0</v>
      </c>
      <c r="T348" s="461">
        <v>0</v>
      </c>
      <c r="U348" s="461">
        <v>0</v>
      </c>
      <c r="V348" s="461">
        <v>0</v>
      </c>
    </row>
    <row r="349" spans="1:22" s="455" customFormat="1" hidden="1">
      <c r="A349" s="455" t="str">
        <f t="shared" si="10"/>
        <v>11219101101410</v>
      </c>
      <c r="B349" s="455">
        <f>VLOOKUP(LEFT($C$3:$C$2600,3),Table!$D$2:$E$88,2,FALSE)</f>
        <v>0</v>
      </c>
      <c r="C349" s="455" t="str">
        <f t="shared" si="11"/>
        <v>9101101410</v>
      </c>
      <c r="D349" s="455" t="e">
        <f>VLOOKUP(G349,Table!$G$3:$H$21,2,FALSE)</f>
        <v>#N/A</v>
      </c>
      <c r="E349" s="452" t="s">
        <v>902</v>
      </c>
      <c r="F349" s="452" t="s">
        <v>1192</v>
      </c>
      <c r="G349" s="452" t="s">
        <v>1077</v>
      </c>
      <c r="H349" s="452" t="s">
        <v>1078</v>
      </c>
      <c r="I349" s="453" t="s">
        <v>844</v>
      </c>
      <c r="J349" s="453">
        <v>255</v>
      </c>
      <c r="K349" s="461">
        <v>75</v>
      </c>
      <c r="L349" s="461">
        <v>90</v>
      </c>
      <c r="M349" s="461">
        <v>90</v>
      </c>
      <c r="N349" s="461">
        <v>0</v>
      </c>
      <c r="O349" s="461">
        <v>0</v>
      </c>
      <c r="P349" s="461">
        <v>0</v>
      </c>
      <c r="Q349" s="461">
        <v>0</v>
      </c>
      <c r="R349" s="461">
        <v>0</v>
      </c>
      <c r="S349" s="461">
        <v>0</v>
      </c>
      <c r="T349" s="461">
        <v>0</v>
      </c>
      <c r="U349" s="461">
        <v>0</v>
      </c>
      <c r="V349" s="461">
        <v>0</v>
      </c>
    </row>
    <row r="350" spans="1:22" s="455" customFormat="1" hidden="1">
      <c r="A350" s="455" t="str">
        <f t="shared" si="10"/>
        <v>11219101101500</v>
      </c>
      <c r="B350" s="455">
        <f>VLOOKUP(LEFT($C$3:$C$2600,3),Table!$D$2:$E$88,2,FALSE)</f>
        <v>0</v>
      </c>
      <c r="C350" s="455" t="str">
        <f t="shared" si="11"/>
        <v>9101101500</v>
      </c>
      <c r="D350" s="455" t="e">
        <f>VLOOKUP(G350,Table!$G$3:$H$21,2,FALSE)</f>
        <v>#N/A</v>
      </c>
      <c r="E350" s="452" t="s">
        <v>902</v>
      </c>
      <c r="F350" s="452" t="s">
        <v>1192</v>
      </c>
      <c r="G350" s="452" t="s">
        <v>1079</v>
      </c>
      <c r="H350" s="452" t="s">
        <v>1080</v>
      </c>
      <c r="I350" s="453" t="s">
        <v>844</v>
      </c>
      <c r="J350" s="453">
        <v>815.5</v>
      </c>
      <c r="K350" s="461">
        <v>265.8</v>
      </c>
      <c r="L350" s="461">
        <v>281.89999999999998</v>
      </c>
      <c r="M350" s="461">
        <v>267.8</v>
      </c>
      <c r="N350" s="461">
        <v>0</v>
      </c>
      <c r="O350" s="461">
        <v>0</v>
      </c>
      <c r="P350" s="461">
        <v>0</v>
      </c>
      <c r="Q350" s="461">
        <v>0</v>
      </c>
      <c r="R350" s="461">
        <v>0</v>
      </c>
      <c r="S350" s="461">
        <v>0</v>
      </c>
      <c r="T350" s="461">
        <v>0</v>
      </c>
      <c r="U350" s="461">
        <v>0</v>
      </c>
      <c r="V350" s="461">
        <v>0</v>
      </c>
    </row>
    <row r="351" spans="1:22" s="455" customFormat="1" hidden="1">
      <c r="A351" s="455" t="str">
        <f t="shared" si="10"/>
        <v>11219101101600</v>
      </c>
      <c r="B351" s="455">
        <f>VLOOKUP(LEFT($C$3:$C$2600,3),Table!$D$2:$E$88,2,FALSE)</f>
        <v>0</v>
      </c>
      <c r="C351" s="455" t="str">
        <f t="shared" si="11"/>
        <v>9101101600</v>
      </c>
      <c r="D351" s="455" t="e">
        <f>VLOOKUP(G351,Table!$G$3:$H$21,2,FALSE)</f>
        <v>#N/A</v>
      </c>
      <c r="E351" s="452" t="s">
        <v>902</v>
      </c>
      <c r="F351" s="452" t="s">
        <v>1192</v>
      </c>
      <c r="G351" s="452" t="s">
        <v>1081</v>
      </c>
      <c r="H351" s="452" t="s">
        <v>1082</v>
      </c>
      <c r="I351" s="453" t="s">
        <v>844</v>
      </c>
      <c r="J351" s="453">
        <v>8419.69</v>
      </c>
      <c r="K351" s="461">
        <v>3003.69</v>
      </c>
      <c r="L351" s="461">
        <v>2708</v>
      </c>
      <c r="M351" s="461">
        <v>2708</v>
      </c>
      <c r="N351" s="461">
        <v>0</v>
      </c>
      <c r="O351" s="461">
        <v>0</v>
      </c>
      <c r="P351" s="461">
        <v>0</v>
      </c>
      <c r="Q351" s="461">
        <v>0</v>
      </c>
      <c r="R351" s="461">
        <v>0</v>
      </c>
      <c r="S351" s="461">
        <v>0</v>
      </c>
      <c r="T351" s="461">
        <v>0</v>
      </c>
      <c r="U351" s="461">
        <v>0</v>
      </c>
      <c r="V351" s="461">
        <v>0</v>
      </c>
    </row>
    <row r="352" spans="1:22" s="455" customFormat="1" hidden="1">
      <c r="A352" s="455" t="str">
        <f t="shared" si="10"/>
        <v>11219101101700</v>
      </c>
      <c r="B352" s="455">
        <f>VLOOKUP(LEFT($C$3:$C$2600,3),Table!$D$2:$E$88,2,FALSE)</f>
        <v>0</v>
      </c>
      <c r="C352" s="455" t="str">
        <f t="shared" si="11"/>
        <v>9101101700</v>
      </c>
      <c r="D352" s="455" t="e">
        <f>VLOOKUP(G352,Table!$G$3:$H$21,2,FALSE)</f>
        <v>#N/A</v>
      </c>
      <c r="E352" s="452" t="s">
        <v>902</v>
      </c>
      <c r="F352" s="452" t="s">
        <v>1192</v>
      </c>
      <c r="G352" s="452" t="s">
        <v>1083</v>
      </c>
      <c r="H352" s="452" t="s">
        <v>1084</v>
      </c>
      <c r="I352" s="453" t="s">
        <v>844</v>
      </c>
      <c r="J352" s="453">
        <v>-12275.54</v>
      </c>
      <c r="K352" s="461">
        <v>733.17</v>
      </c>
      <c r="L352" s="461">
        <v>196.78</v>
      </c>
      <c r="M352" s="461">
        <v>1472.6</v>
      </c>
      <c r="N352" s="461">
        <v>0</v>
      </c>
      <c r="O352" s="461">
        <v>0</v>
      </c>
      <c r="P352" s="461">
        <v>0</v>
      </c>
      <c r="Q352" s="461">
        <v>0</v>
      </c>
      <c r="R352" s="461">
        <v>0</v>
      </c>
      <c r="S352" s="461">
        <v>0</v>
      </c>
      <c r="T352" s="461">
        <v>0</v>
      </c>
      <c r="U352" s="461">
        <v>0</v>
      </c>
      <c r="V352" s="461">
        <v>0</v>
      </c>
    </row>
    <row r="353" spans="1:22" s="455" customFormat="1" hidden="1">
      <c r="A353" s="455" t="str">
        <f t="shared" si="10"/>
        <v>11219101101800</v>
      </c>
      <c r="B353" s="455">
        <f>VLOOKUP(LEFT($C$3:$C$2600,3),Table!$D$2:$E$88,2,FALSE)</f>
        <v>0</v>
      </c>
      <c r="C353" s="455" t="str">
        <f t="shared" si="11"/>
        <v>9101101800</v>
      </c>
      <c r="D353" s="455" t="e">
        <f>VLOOKUP(G353,Table!$G$3:$H$21,2,FALSE)</f>
        <v>#N/A</v>
      </c>
      <c r="E353" s="452" t="s">
        <v>902</v>
      </c>
      <c r="F353" s="452" t="s">
        <v>1192</v>
      </c>
      <c r="G353" s="452" t="s">
        <v>1085</v>
      </c>
      <c r="H353" s="452" t="s">
        <v>1086</v>
      </c>
      <c r="I353" s="453" t="s">
        <v>844</v>
      </c>
      <c r="J353" s="453">
        <v>2692.5</v>
      </c>
      <c r="K353" s="461">
        <v>933.6</v>
      </c>
      <c r="L353" s="461">
        <v>957.8</v>
      </c>
      <c r="M353" s="461">
        <v>801.1</v>
      </c>
      <c r="N353" s="461">
        <v>0</v>
      </c>
      <c r="O353" s="461">
        <v>0</v>
      </c>
      <c r="P353" s="461">
        <v>0</v>
      </c>
      <c r="Q353" s="461">
        <v>0</v>
      </c>
      <c r="R353" s="461">
        <v>0</v>
      </c>
      <c r="S353" s="461">
        <v>0</v>
      </c>
      <c r="T353" s="461">
        <v>0</v>
      </c>
      <c r="U353" s="461">
        <v>0</v>
      </c>
      <c r="V353" s="461">
        <v>0</v>
      </c>
    </row>
    <row r="354" spans="1:22" s="455" customFormat="1" hidden="1">
      <c r="A354" s="455" t="str">
        <f t="shared" si="10"/>
        <v>11219101101900</v>
      </c>
      <c r="B354" s="455">
        <f>VLOOKUP(LEFT($C$3:$C$2600,3),Table!$D$2:$E$88,2,FALSE)</f>
        <v>0</v>
      </c>
      <c r="C354" s="455" t="str">
        <f t="shared" si="11"/>
        <v>9101101900</v>
      </c>
      <c r="D354" s="455" t="e">
        <f>VLOOKUP(G354,Table!$G$3:$H$21,2,FALSE)</f>
        <v>#N/A</v>
      </c>
      <c r="E354" s="452" t="s">
        <v>902</v>
      </c>
      <c r="F354" s="452" t="s">
        <v>1192</v>
      </c>
      <c r="G354" s="452" t="s">
        <v>1087</v>
      </c>
      <c r="H354" s="452" t="s">
        <v>1088</v>
      </c>
      <c r="I354" s="453" t="s">
        <v>844</v>
      </c>
      <c r="J354" s="453">
        <v>402.16</v>
      </c>
      <c r="K354" s="461">
        <v>134.16</v>
      </c>
      <c r="L354" s="461">
        <v>131.96</v>
      </c>
      <c r="M354" s="461">
        <v>136.04</v>
      </c>
      <c r="N354" s="461">
        <v>0</v>
      </c>
      <c r="O354" s="461">
        <v>0</v>
      </c>
      <c r="P354" s="461">
        <v>0</v>
      </c>
      <c r="Q354" s="461">
        <v>0</v>
      </c>
      <c r="R354" s="461">
        <v>0</v>
      </c>
      <c r="S354" s="461">
        <v>0</v>
      </c>
      <c r="T354" s="461">
        <v>0</v>
      </c>
      <c r="U354" s="461">
        <v>0</v>
      </c>
      <c r="V354" s="461">
        <v>0</v>
      </c>
    </row>
    <row r="355" spans="1:22" s="455" customFormat="1" hidden="1">
      <c r="A355" s="455" t="str">
        <f t="shared" si="10"/>
        <v>11219101201000</v>
      </c>
      <c r="B355" s="455">
        <f>VLOOKUP(LEFT($C$3:$C$2600,3),Table!$D$2:$E$88,2,FALSE)</f>
        <v>0</v>
      </c>
      <c r="C355" s="455" t="str">
        <f t="shared" si="11"/>
        <v>9101201000</v>
      </c>
      <c r="D355" s="455" t="e">
        <f>VLOOKUP(G355,Table!$G$3:$H$21,2,FALSE)</f>
        <v>#N/A</v>
      </c>
      <c r="E355" s="452" t="s">
        <v>902</v>
      </c>
      <c r="F355" s="452" t="s">
        <v>1192</v>
      </c>
      <c r="G355" s="452" t="s">
        <v>1091</v>
      </c>
      <c r="H355" s="452" t="s">
        <v>1092</v>
      </c>
      <c r="I355" s="453" t="s">
        <v>844</v>
      </c>
      <c r="J355" s="453">
        <v>15539</v>
      </c>
      <c r="K355" s="461">
        <v>5378</v>
      </c>
      <c r="L355" s="461">
        <v>4897</v>
      </c>
      <c r="M355" s="461">
        <v>5264</v>
      </c>
      <c r="N355" s="461">
        <v>0</v>
      </c>
      <c r="O355" s="461">
        <v>0</v>
      </c>
      <c r="P355" s="461">
        <v>0</v>
      </c>
      <c r="Q355" s="461">
        <v>0</v>
      </c>
      <c r="R355" s="461">
        <v>0</v>
      </c>
      <c r="S355" s="461">
        <v>0</v>
      </c>
      <c r="T355" s="461">
        <v>0</v>
      </c>
      <c r="U355" s="461">
        <v>0</v>
      </c>
      <c r="V355" s="461">
        <v>0</v>
      </c>
    </row>
    <row r="356" spans="1:22" s="455" customFormat="1" hidden="1">
      <c r="A356" s="455" t="str">
        <f t="shared" si="10"/>
        <v>11219101303600</v>
      </c>
      <c r="B356" s="455">
        <f>VLOOKUP(LEFT($C$3:$C$2600,3),Table!$D$2:$E$88,2,FALSE)</f>
        <v>0</v>
      </c>
      <c r="C356" s="455" t="str">
        <f t="shared" si="11"/>
        <v>9101303600</v>
      </c>
      <c r="D356" s="455" t="e">
        <f>VLOOKUP(G356,Table!$G$3:$H$21,2,FALSE)</f>
        <v>#N/A</v>
      </c>
      <c r="E356" s="452" t="s">
        <v>902</v>
      </c>
      <c r="F356" s="452" t="s">
        <v>1192</v>
      </c>
      <c r="G356" s="452" t="s">
        <v>1193</v>
      </c>
      <c r="H356" s="452" t="s">
        <v>1194</v>
      </c>
      <c r="I356" s="453" t="s">
        <v>844</v>
      </c>
      <c r="J356" s="453">
        <v>8205</v>
      </c>
      <c r="K356" s="461">
        <v>0</v>
      </c>
      <c r="L356" s="461">
        <v>0</v>
      </c>
      <c r="M356" s="461">
        <v>8205</v>
      </c>
      <c r="N356" s="461">
        <v>0</v>
      </c>
      <c r="O356" s="461">
        <v>0</v>
      </c>
      <c r="P356" s="461">
        <v>0</v>
      </c>
      <c r="Q356" s="461">
        <v>0</v>
      </c>
      <c r="R356" s="461">
        <v>0</v>
      </c>
      <c r="S356" s="461">
        <v>0</v>
      </c>
      <c r="T356" s="461">
        <v>0</v>
      </c>
      <c r="U356" s="461">
        <v>0</v>
      </c>
      <c r="V356" s="461">
        <v>0</v>
      </c>
    </row>
    <row r="357" spans="1:22" s="455" customFormat="1" hidden="1">
      <c r="A357" s="455" t="str">
        <f t="shared" si="10"/>
        <v>11219152062811</v>
      </c>
      <c r="B357" s="455">
        <f>VLOOKUP(LEFT($C$3:$C$2600,3),Table!$D$2:$E$88,2,FALSE)</f>
        <v>0</v>
      </c>
      <c r="C357" s="455" t="str">
        <f t="shared" si="11"/>
        <v>9152062811</v>
      </c>
      <c r="D357" s="455" t="e">
        <f>VLOOKUP(G357,Table!$G$3:$H$21,2,FALSE)</f>
        <v>#N/A</v>
      </c>
      <c r="E357" s="452" t="s">
        <v>902</v>
      </c>
      <c r="F357" s="452" t="s">
        <v>1192</v>
      </c>
      <c r="G357" s="452" t="s">
        <v>1195</v>
      </c>
      <c r="H357" s="452" t="s">
        <v>1196</v>
      </c>
      <c r="I357" s="453" t="s">
        <v>844</v>
      </c>
      <c r="J357" s="453">
        <v>29029.02</v>
      </c>
      <c r="K357" s="461">
        <v>4116.5200000000004</v>
      </c>
      <c r="L357" s="461">
        <v>16869</v>
      </c>
      <c r="M357" s="461">
        <v>9783.5</v>
      </c>
      <c r="N357" s="461">
        <v>0</v>
      </c>
      <c r="O357" s="461">
        <v>0</v>
      </c>
      <c r="P357" s="461">
        <v>0</v>
      </c>
      <c r="Q357" s="461">
        <v>0</v>
      </c>
      <c r="R357" s="461">
        <v>0</v>
      </c>
      <c r="S357" s="461">
        <v>0</v>
      </c>
      <c r="T357" s="461">
        <v>0</v>
      </c>
      <c r="U357" s="461">
        <v>0</v>
      </c>
      <c r="V357" s="461">
        <v>0</v>
      </c>
    </row>
    <row r="358" spans="1:22" s="455" customFormat="1" hidden="1">
      <c r="A358" s="455" t="str">
        <f t="shared" si="10"/>
        <v>11219152062821</v>
      </c>
      <c r="B358" s="455">
        <f>VLOOKUP(LEFT($C$3:$C$2600,3),Table!$D$2:$E$88,2,FALSE)</f>
        <v>0</v>
      </c>
      <c r="C358" s="455" t="str">
        <f t="shared" si="11"/>
        <v>9152062821</v>
      </c>
      <c r="D358" s="455" t="e">
        <f>VLOOKUP(G358,Table!$G$3:$H$21,2,FALSE)</f>
        <v>#N/A</v>
      </c>
      <c r="E358" s="452" t="s">
        <v>902</v>
      </c>
      <c r="F358" s="452" t="s">
        <v>1192</v>
      </c>
      <c r="G358" s="452" t="s">
        <v>1197</v>
      </c>
      <c r="H358" s="452" t="s">
        <v>1198</v>
      </c>
      <c r="I358" s="453" t="s">
        <v>844</v>
      </c>
      <c r="J358" s="453">
        <v>1744</v>
      </c>
      <c r="K358" s="461">
        <v>99</v>
      </c>
      <c r="L358" s="461">
        <v>1645</v>
      </c>
      <c r="M358" s="461">
        <v>27745</v>
      </c>
      <c r="N358" s="461">
        <v>0</v>
      </c>
      <c r="O358" s="461">
        <v>0</v>
      </c>
      <c r="P358" s="461">
        <v>0</v>
      </c>
      <c r="Q358" s="461">
        <v>0</v>
      </c>
      <c r="R358" s="461">
        <v>0</v>
      </c>
      <c r="S358" s="461">
        <v>0</v>
      </c>
      <c r="T358" s="461">
        <v>0</v>
      </c>
      <c r="U358" s="461">
        <v>0</v>
      </c>
      <c r="V358" s="461">
        <v>0</v>
      </c>
    </row>
    <row r="359" spans="1:22" s="455" customFormat="1" hidden="1">
      <c r="A359" s="455" t="str">
        <f t="shared" si="10"/>
        <v>11219152062871</v>
      </c>
      <c r="B359" s="455">
        <f>VLOOKUP(LEFT($C$3:$C$2600,3),Table!$D$2:$E$88,2,FALSE)</f>
        <v>0</v>
      </c>
      <c r="C359" s="455" t="str">
        <f t="shared" si="11"/>
        <v>9152062871</v>
      </c>
      <c r="D359" s="455" t="e">
        <f>VLOOKUP(G359,Table!$G$3:$H$21,2,FALSE)</f>
        <v>#N/A</v>
      </c>
      <c r="E359" s="452" t="s">
        <v>902</v>
      </c>
      <c r="F359" s="452" t="s">
        <v>1192</v>
      </c>
      <c r="G359" s="452" t="s">
        <v>2539</v>
      </c>
      <c r="H359" s="452" t="s">
        <v>2540</v>
      </c>
      <c r="I359" s="453" t="s">
        <v>844</v>
      </c>
      <c r="J359" s="453">
        <v>384</v>
      </c>
      <c r="K359" s="461">
        <v>0</v>
      </c>
      <c r="L359" s="461">
        <v>384</v>
      </c>
      <c r="M359" s="461">
        <v>0</v>
      </c>
      <c r="N359" s="461">
        <v>0</v>
      </c>
      <c r="O359" s="461">
        <v>0</v>
      </c>
      <c r="P359" s="461">
        <v>0</v>
      </c>
      <c r="Q359" s="461">
        <v>0</v>
      </c>
      <c r="R359" s="461">
        <v>0</v>
      </c>
      <c r="S359" s="461">
        <v>0</v>
      </c>
      <c r="T359" s="461">
        <v>0</v>
      </c>
      <c r="U359" s="461">
        <v>0</v>
      </c>
      <c r="V359" s="461">
        <v>0</v>
      </c>
    </row>
    <row r="360" spans="1:22" s="455" customFormat="1" hidden="1">
      <c r="A360" s="455" t="str">
        <f t="shared" si="10"/>
        <v>11219152090000</v>
      </c>
      <c r="B360" s="455">
        <f>VLOOKUP(LEFT($C$3:$C$2600,3),Table!$D$2:$E$88,2,FALSE)</f>
        <v>0</v>
      </c>
      <c r="C360" s="455" t="str">
        <f t="shared" si="11"/>
        <v>9152090000</v>
      </c>
      <c r="D360" s="455" t="e">
        <f>VLOOKUP(G360,Table!$G$3:$H$21,2,FALSE)</f>
        <v>#N/A</v>
      </c>
      <c r="E360" s="452" t="s">
        <v>902</v>
      </c>
      <c r="F360" s="452" t="s">
        <v>1192</v>
      </c>
      <c r="G360" s="452" t="s">
        <v>1033</v>
      </c>
      <c r="H360" s="452" t="s">
        <v>1034</v>
      </c>
      <c r="I360" s="453" t="s">
        <v>844</v>
      </c>
      <c r="J360" s="453">
        <v>10676.25</v>
      </c>
      <c r="K360" s="461">
        <v>2838</v>
      </c>
      <c r="L360" s="461">
        <v>8562.25</v>
      </c>
      <c r="M360" s="461">
        <v>1100</v>
      </c>
      <c r="N360" s="461">
        <v>0</v>
      </c>
      <c r="O360" s="461">
        <v>0</v>
      </c>
      <c r="P360" s="461">
        <v>0</v>
      </c>
      <c r="Q360" s="461">
        <v>0</v>
      </c>
      <c r="R360" s="461">
        <v>0</v>
      </c>
      <c r="S360" s="461">
        <v>0</v>
      </c>
      <c r="T360" s="461">
        <v>0</v>
      </c>
      <c r="U360" s="461">
        <v>0</v>
      </c>
      <c r="V360" s="461">
        <v>0</v>
      </c>
    </row>
    <row r="361" spans="1:22" s="455" customFormat="1" hidden="1">
      <c r="A361" s="455" t="str">
        <f t="shared" si="10"/>
        <v>11219153001000</v>
      </c>
      <c r="B361" s="455">
        <f>VLOOKUP(LEFT($C$3:$C$2600,3),Table!$D$2:$E$88,2,FALSE)</f>
        <v>0</v>
      </c>
      <c r="C361" s="455" t="str">
        <f t="shared" si="11"/>
        <v>9153001000</v>
      </c>
      <c r="D361" s="455" t="e">
        <f>VLOOKUP(G361,Table!$G$3:$H$21,2,FALSE)</f>
        <v>#N/A</v>
      </c>
      <c r="E361" s="452" t="s">
        <v>902</v>
      </c>
      <c r="F361" s="452" t="s">
        <v>1192</v>
      </c>
      <c r="G361" s="452" t="s">
        <v>1043</v>
      </c>
      <c r="H361" s="452" t="s">
        <v>1044</v>
      </c>
      <c r="I361" s="453" t="s">
        <v>844</v>
      </c>
      <c r="J361" s="453">
        <v>25726</v>
      </c>
      <c r="K361" s="461">
        <v>8517</v>
      </c>
      <c r="L361" s="461">
        <v>8517</v>
      </c>
      <c r="M361" s="461">
        <v>8692</v>
      </c>
      <c r="N361" s="461">
        <v>0</v>
      </c>
      <c r="O361" s="461">
        <v>0</v>
      </c>
      <c r="P361" s="461">
        <v>0</v>
      </c>
      <c r="Q361" s="461">
        <v>0</v>
      </c>
      <c r="R361" s="461">
        <v>0</v>
      </c>
      <c r="S361" s="461">
        <v>0</v>
      </c>
      <c r="T361" s="461">
        <v>0</v>
      </c>
      <c r="U361" s="461">
        <v>0</v>
      </c>
      <c r="V361" s="461">
        <v>0</v>
      </c>
    </row>
    <row r="362" spans="1:22" s="455" customFormat="1" hidden="1">
      <c r="A362" s="455" t="str">
        <f t="shared" si="10"/>
        <v>11309100900000</v>
      </c>
      <c r="B362" s="455">
        <f>VLOOKUP(LEFT($C$3:$C$2600,3),Table!$D$2:$E$88,2,FALSE)</f>
        <v>0</v>
      </c>
      <c r="C362" s="455" t="str">
        <f t="shared" si="11"/>
        <v>9100900000</v>
      </c>
      <c r="D362" s="455" t="e">
        <f>VLOOKUP(G362,Table!$G$3:$H$21,2,FALSE)</f>
        <v>#N/A</v>
      </c>
      <c r="E362" s="452" t="s">
        <v>902</v>
      </c>
      <c r="F362" s="452" t="s">
        <v>1199</v>
      </c>
      <c r="G362" s="452" t="s">
        <v>965</v>
      </c>
      <c r="H362" s="452" t="s">
        <v>966</v>
      </c>
      <c r="I362" s="453" t="s">
        <v>844</v>
      </c>
      <c r="J362" s="453">
        <v>1910</v>
      </c>
      <c r="K362" s="461">
        <v>1510</v>
      </c>
      <c r="L362" s="461">
        <v>-1590</v>
      </c>
      <c r="M362" s="461">
        <v>1990</v>
      </c>
      <c r="N362" s="461">
        <v>0</v>
      </c>
      <c r="O362" s="461">
        <v>0</v>
      </c>
      <c r="P362" s="461">
        <v>0</v>
      </c>
      <c r="Q362" s="461">
        <v>0</v>
      </c>
      <c r="R362" s="461">
        <v>0</v>
      </c>
      <c r="S362" s="461">
        <v>0</v>
      </c>
      <c r="T362" s="461">
        <v>0</v>
      </c>
      <c r="U362" s="461">
        <v>0</v>
      </c>
      <c r="V362" s="461">
        <v>0</v>
      </c>
    </row>
    <row r="363" spans="1:22" s="455" customFormat="1" hidden="1">
      <c r="A363" s="455" t="str">
        <f t="shared" si="10"/>
        <v>11309101001000</v>
      </c>
      <c r="B363" s="455">
        <f>VLOOKUP(LEFT($C$3:$C$2600,3),Table!$D$2:$E$88,2,FALSE)</f>
        <v>0</v>
      </c>
      <c r="C363" s="455" t="str">
        <f t="shared" si="11"/>
        <v>9101001000</v>
      </c>
      <c r="D363" s="455" t="e">
        <f>VLOOKUP(G363,Table!$G$3:$H$21,2,FALSE)</f>
        <v>#N/A</v>
      </c>
      <c r="E363" s="452" t="s">
        <v>902</v>
      </c>
      <c r="F363" s="452" t="s">
        <v>1199</v>
      </c>
      <c r="G363" s="452" t="s">
        <v>1046</v>
      </c>
      <c r="H363" s="452" t="s">
        <v>1047</v>
      </c>
      <c r="I363" s="453" t="s">
        <v>844</v>
      </c>
      <c r="J363" s="453">
        <v>7405.9</v>
      </c>
      <c r="K363" s="461">
        <v>7405.9</v>
      </c>
      <c r="L363" s="461">
        <v>0</v>
      </c>
      <c r="M363" s="461">
        <v>0</v>
      </c>
      <c r="N363" s="461">
        <v>0</v>
      </c>
      <c r="O363" s="461">
        <v>0</v>
      </c>
      <c r="P363" s="461">
        <v>0</v>
      </c>
      <c r="Q363" s="461">
        <v>0</v>
      </c>
      <c r="R363" s="461">
        <v>0</v>
      </c>
      <c r="S363" s="461">
        <v>0</v>
      </c>
      <c r="T363" s="461">
        <v>0</v>
      </c>
      <c r="U363" s="461">
        <v>0</v>
      </c>
      <c r="V363" s="461">
        <v>0</v>
      </c>
    </row>
    <row r="364" spans="1:22" s="455" customFormat="1" hidden="1">
      <c r="A364" s="455" t="str">
        <f t="shared" si="10"/>
        <v>11309101001100</v>
      </c>
      <c r="B364" s="455">
        <f>VLOOKUP(LEFT($C$3:$C$2600,3),Table!$D$2:$E$88,2,FALSE)</f>
        <v>0</v>
      </c>
      <c r="C364" s="455" t="str">
        <f t="shared" si="11"/>
        <v>9101001100</v>
      </c>
      <c r="D364" s="455" t="e">
        <f>VLOOKUP(G364,Table!$G$3:$H$21,2,FALSE)</f>
        <v>#N/A</v>
      </c>
      <c r="E364" s="452" t="s">
        <v>902</v>
      </c>
      <c r="F364" s="452" t="s">
        <v>1199</v>
      </c>
      <c r="G364" s="452" t="s">
        <v>1048</v>
      </c>
      <c r="H364" s="452" t="s">
        <v>1049</v>
      </c>
      <c r="I364" s="453" t="s">
        <v>844</v>
      </c>
      <c r="J364" s="453">
        <v>6958.45</v>
      </c>
      <c r="K364" s="461">
        <v>6958.45</v>
      </c>
      <c r="L364" s="461">
        <v>0</v>
      </c>
      <c r="M364" s="461">
        <v>0</v>
      </c>
      <c r="N364" s="461">
        <v>0</v>
      </c>
      <c r="O364" s="461">
        <v>0</v>
      </c>
      <c r="P364" s="461">
        <v>0</v>
      </c>
      <c r="Q364" s="461">
        <v>0</v>
      </c>
      <c r="R364" s="461">
        <v>0</v>
      </c>
      <c r="S364" s="461">
        <v>0</v>
      </c>
      <c r="T364" s="461">
        <v>0</v>
      </c>
      <c r="U364" s="461">
        <v>0</v>
      </c>
      <c r="V364" s="461">
        <v>0</v>
      </c>
    </row>
    <row r="365" spans="1:22" s="455" customFormat="1" hidden="1">
      <c r="A365" s="455" t="str">
        <f t="shared" si="10"/>
        <v>11309101001200</v>
      </c>
      <c r="B365" s="455">
        <f>VLOOKUP(LEFT($C$3:$C$2600,3),Table!$D$2:$E$88,2,FALSE)</f>
        <v>0</v>
      </c>
      <c r="C365" s="455" t="str">
        <f t="shared" si="11"/>
        <v>9101001200</v>
      </c>
      <c r="D365" s="455" t="e">
        <f>VLOOKUP(G365,Table!$G$3:$H$21,2,FALSE)</f>
        <v>#N/A</v>
      </c>
      <c r="E365" s="452" t="s">
        <v>902</v>
      </c>
      <c r="F365" s="452" t="s">
        <v>1199</v>
      </c>
      <c r="G365" s="452" t="s">
        <v>1050</v>
      </c>
      <c r="H365" s="452" t="s">
        <v>1051</v>
      </c>
      <c r="I365" s="453" t="s">
        <v>844</v>
      </c>
      <c r="J365" s="453">
        <v>732.49</v>
      </c>
      <c r="K365" s="461">
        <v>732.49</v>
      </c>
      <c r="L365" s="461">
        <v>0</v>
      </c>
      <c r="M365" s="461">
        <v>0</v>
      </c>
      <c r="N365" s="461">
        <v>0</v>
      </c>
      <c r="O365" s="461">
        <v>0</v>
      </c>
      <c r="P365" s="461">
        <v>0</v>
      </c>
      <c r="Q365" s="461">
        <v>0</v>
      </c>
      <c r="R365" s="461">
        <v>0</v>
      </c>
      <c r="S365" s="461">
        <v>0</v>
      </c>
      <c r="T365" s="461">
        <v>0</v>
      </c>
      <c r="U365" s="461">
        <v>0</v>
      </c>
      <c r="V365" s="461">
        <v>0</v>
      </c>
    </row>
    <row r="366" spans="1:22" s="455" customFormat="1" hidden="1">
      <c r="A366" s="455" t="str">
        <f t="shared" si="10"/>
        <v>11309101001400</v>
      </c>
      <c r="B366" s="455">
        <f>VLOOKUP(LEFT($C$3:$C$2600,3),Table!$D$2:$E$88,2,FALSE)</f>
        <v>0</v>
      </c>
      <c r="C366" s="455" t="str">
        <f t="shared" si="11"/>
        <v>9101001400</v>
      </c>
      <c r="D366" s="455" t="e">
        <f>VLOOKUP(G366,Table!$G$3:$H$21,2,FALSE)</f>
        <v>#N/A</v>
      </c>
      <c r="E366" s="452" t="s">
        <v>902</v>
      </c>
      <c r="F366" s="452" t="s">
        <v>1199</v>
      </c>
      <c r="G366" s="452" t="s">
        <v>1054</v>
      </c>
      <c r="H366" s="452" t="s">
        <v>1055</v>
      </c>
      <c r="I366" s="453" t="s">
        <v>844</v>
      </c>
      <c r="J366" s="453">
        <v>1230</v>
      </c>
      <c r="K366" s="461">
        <v>1230</v>
      </c>
      <c r="L366" s="461">
        <v>0</v>
      </c>
      <c r="M366" s="461">
        <v>0</v>
      </c>
      <c r="N366" s="461">
        <v>0</v>
      </c>
      <c r="O366" s="461">
        <v>0</v>
      </c>
      <c r="P366" s="461">
        <v>0</v>
      </c>
      <c r="Q366" s="461">
        <v>0</v>
      </c>
      <c r="R366" s="461">
        <v>0</v>
      </c>
      <c r="S366" s="461">
        <v>0</v>
      </c>
      <c r="T366" s="461">
        <v>0</v>
      </c>
      <c r="U366" s="461">
        <v>0</v>
      </c>
      <c r="V366" s="461">
        <v>0</v>
      </c>
    </row>
    <row r="367" spans="1:22" s="455" customFormat="1" hidden="1">
      <c r="A367" s="455" t="str">
        <f t="shared" si="10"/>
        <v>11309101001410</v>
      </c>
      <c r="B367" s="455">
        <f>VLOOKUP(LEFT($C$3:$C$2600,3),Table!$D$2:$E$88,2,FALSE)</f>
        <v>0</v>
      </c>
      <c r="C367" s="455" t="str">
        <f t="shared" si="11"/>
        <v>9101001410</v>
      </c>
      <c r="D367" s="455" t="e">
        <f>VLOOKUP(G367,Table!$G$3:$H$21,2,FALSE)</f>
        <v>#N/A</v>
      </c>
      <c r="E367" s="452" t="s">
        <v>902</v>
      </c>
      <c r="F367" s="452" t="s">
        <v>1199</v>
      </c>
      <c r="G367" s="452" t="s">
        <v>1056</v>
      </c>
      <c r="H367" s="452" t="s">
        <v>1057</v>
      </c>
      <c r="I367" s="453" t="s">
        <v>844</v>
      </c>
      <c r="J367" s="453">
        <v>45</v>
      </c>
      <c r="K367" s="461">
        <v>45</v>
      </c>
      <c r="L367" s="461">
        <v>0</v>
      </c>
      <c r="M367" s="461">
        <v>0</v>
      </c>
      <c r="N367" s="461">
        <v>0</v>
      </c>
      <c r="O367" s="461">
        <v>0</v>
      </c>
      <c r="P367" s="461">
        <v>0</v>
      </c>
      <c r="Q367" s="461">
        <v>0</v>
      </c>
      <c r="R367" s="461">
        <v>0</v>
      </c>
      <c r="S367" s="461">
        <v>0</v>
      </c>
      <c r="T367" s="461">
        <v>0</v>
      </c>
      <c r="U367" s="461">
        <v>0</v>
      </c>
      <c r="V367" s="461">
        <v>0</v>
      </c>
    </row>
    <row r="368" spans="1:22" s="455" customFormat="1" hidden="1">
      <c r="A368" s="455" t="str">
        <f t="shared" si="10"/>
        <v>11309101001500</v>
      </c>
      <c r="B368" s="455">
        <f>VLOOKUP(LEFT($C$3:$C$2600,3),Table!$D$2:$E$88,2,FALSE)</f>
        <v>0</v>
      </c>
      <c r="C368" s="455" t="str">
        <f t="shared" si="11"/>
        <v>9101001500</v>
      </c>
      <c r="D368" s="455" t="e">
        <f>VLOOKUP(G368,Table!$G$3:$H$21,2,FALSE)</f>
        <v>#N/A</v>
      </c>
      <c r="E368" s="452" t="s">
        <v>902</v>
      </c>
      <c r="F368" s="452" t="s">
        <v>1199</v>
      </c>
      <c r="G368" s="452" t="s">
        <v>1058</v>
      </c>
      <c r="H368" s="452" t="s">
        <v>1059</v>
      </c>
      <c r="I368" s="453" t="s">
        <v>844</v>
      </c>
      <c r="J368" s="453">
        <v>154.94999999999999</v>
      </c>
      <c r="K368" s="461">
        <v>154.94999999999999</v>
      </c>
      <c r="L368" s="461">
        <v>0</v>
      </c>
      <c r="M368" s="461">
        <v>0</v>
      </c>
      <c r="N368" s="461">
        <v>0</v>
      </c>
      <c r="O368" s="461">
        <v>0</v>
      </c>
      <c r="P368" s="461">
        <v>0</v>
      </c>
      <c r="Q368" s="461">
        <v>0</v>
      </c>
      <c r="R368" s="461">
        <v>0</v>
      </c>
      <c r="S368" s="461">
        <v>0</v>
      </c>
      <c r="T368" s="461">
        <v>0</v>
      </c>
      <c r="U368" s="461">
        <v>0</v>
      </c>
      <c r="V368" s="461">
        <v>0</v>
      </c>
    </row>
    <row r="369" spans="1:22" s="455" customFormat="1" hidden="1">
      <c r="A369" s="455" t="str">
        <f t="shared" si="10"/>
        <v>11309101001600</v>
      </c>
      <c r="B369" s="455">
        <f>VLOOKUP(LEFT($C$3:$C$2600,3),Table!$D$2:$E$88,2,FALSE)</f>
        <v>0</v>
      </c>
      <c r="C369" s="455" t="str">
        <f t="shared" si="11"/>
        <v>9101001600</v>
      </c>
      <c r="D369" s="455" t="e">
        <f>VLOOKUP(G369,Table!$G$3:$H$21,2,FALSE)</f>
        <v>#N/A</v>
      </c>
      <c r="E369" s="452" t="s">
        <v>902</v>
      </c>
      <c r="F369" s="452" t="s">
        <v>1199</v>
      </c>
      <c r="G369" s="452" t="s">
        <v>1060</v>
      </c>
      <c r="H369" s="452" t="s">
        <v>1061</v>
      </c>
      <c r="I369" s="453" t="s">
        <v>844</v>
      </c>
      <c r="J369" s="453">
        <v>1689.75</v>
      </c>
      <c r="K369" s="461">
        <v>1689.75</v>
      </c>
      <c r="L369" s="461">
        <v>0</v>
      </c>
      <c r="M369" s="461">
        <v>0</v>
      </c>
      <c r="N369" s="461">
        <v>0</v>
      </c>
      <c r="O369" s="461">
        <v>0</v>
      </c>
      <c r="P369" s="461">
        <v>0</v>
      </c>
      <c r="Q369" s="461">
        <v>0</v>
      </c>
      <c r="R369" s="461">
        <v>0</v>
      </c>
      <c r="S369" s="461">
        <v>0</v>
      </c>
      <c r="T369" s="461">
        <v>0</v>
      </c>
      <c r="U369" s="461">
        <v>0</v>
      </c>
      <c r="V369" s="461">
        <v>0</v>
      </c>
    </row>
    <row r="370" spans="1:22" s="455" customFormat="1" hidden="1">
      <c r="A370" s="455" t="str">
        <f t="shared" si="10"/>
        <v>11309101001700</v>
      </c>
      <c r="B370" s="455">
        <f>VLOOKUP(LEFT($C$3:$C$2600,3),Table!$D$2:$E$88,2,FALSE)</f>
        <v>0</v>
      </c>
      <c r="C370" s="455" t="str">
        <f t="shared" si="11"/>
        <v>9101001700</v>
      </c>
      <c r="D370" s="455" t="e">
        <f>VLOOKUP(G370,Table!$G$3:$H$21,2,FALSE)</f>
        <v>#N/A</v>
      </c>
      <c r="E370" s="452" t="s">
        <v>902</v>
      </c>
      <c r="F370" s="452" t="s">
        <v>1199</v>
      </c>
      <c r="G370" s="452" t="s">
        <v>1062</v>
      </c>
      <c r="H370" s="452" t="s">
        <v>1063</v>
      </c>
      <c r="I370" s="453" t="s">
        <v>844</v>
      </c>
      <c r="J370" s="453">
        <v>0</v>
      </c>
      <c r="K370" s="461">
        <v>496.02</v>
      </c>
      <c r="L370" s="461">
        <v>0</v>
      </c>
      <c r="M370" s="461">
        <v>-496.02</v>
      </c>
      <c r="N370" s="461">
        <v>0</v>
      </c>
      <c r="O370" s="461">
        <v>0</v>
      </c>
      <c r="P370" s="461">
        <v>0</v>
      </c>
      <c r="Q370" s="461">
        <v>0</v>
      </c>
      <c r="R370" s="461">
        <v>0</v>
      </c>
      <c r="S370" s="461">
        <v>0</v>
      </c>
      <c r="T370" s="461">
        <v>0</v>
      </c>
      <c r="U370" s="461">
        <v>0</v>
      </c>
      <c r="V370" s="461">
        <v>0</v>
      </c>
    </row>
    <row r="371" spans="1:22" s="455" customFormat="1" hidden="1">
      <c r="A371" s="455" t="str">
        <f t="shared" si="10"/>
        <v>11309101001800</v>
      </c>
      <c r="B371" s="455">
        <f>VLOOKUP(LEFT($C$3:$C$2600,3),Table!$D$2:$E$88,2,FALSE)</f>
        <v>0</v>
      </c>
      <c r="C371" s="455" t="str">
        <f t="shared" si="11"/>
        <v>9101001800</v>
      </c>
      <c r="D371" s="455" t="e">
        <f>VLOOKUP(G371,Table!$G$3:$H$21,2,FALSE)</f>
        <v>#N/A</v>
      </c>
      <c r="E371" s="452" t="s">
        <v>902</v>
      </c>
      <c r="F371" s="452" t="s">
        <v>1199</v>
      </c>
      <c r="G371" s="452" t="s">
        <v>1064</v>
      </c>
      <c r="H371" s="452" t="s">
        <v>1065</v>
      </c>
      <c r="I371" s="453" t="s">
        <v>844</v>
      </c>
      <c r="J371" s="453">
        <v>518.20000000000005</v>
      </c>
      <c r="K371" s="461">
        <v>518.20000000000005</v>
      </c>
      <c r="L371" s="461">
        <v>0</v>
      </c>
      <c r="M371" s="461">
        <v>0</v>
      </c>
      <c r="N371" s="461">
        <v>0</v>
      </c>
      <c r="O371" s="461">
        <v>0</v>
      </c>
      <c r="P371" s="461">
        <v>0</v>
      </c>
      <c r="Q371" s="461">
        <v>0</v>
      </c>
      <c r="R371" s="461">
        <v>0</v>
      </c>
      <c r="S371" s="461">
        <v>0</v>
      </c>
      <c r="T371" s="461">
        <v>0</v>
      </c>
      <c r="U371" s="461">
        <v>0</v>
      </c>
      <c r="V371" s="461">
        <v>0</v>
      </c>
    </row>
    <row r="372" spans="1:22" s="455" customFormat="1" hidden="1">
      <c r="A372" s="455" t="str">
        <f t="shared" si="10"/>
        <v>11309101001900</v>
      </c>
      <c r="B372" s="455">
        <f>VLOOKUP(LEFT($C$3:$C$2600,3),Table!$D$2:$E$88,2,FALSE)</f>
        <v>0</v>
      </c>
      <c r="C372" s="455" t="str">
        <f t="shared" si="11"/>
        <v>9101001900</v>
      </c>
      <c r="D372" s="455" t="e">
        <f>VLOOKUP(G372,Table!$G$3:$H$21,2,FALSE)</f>
        <v>#N/A</v>
      </c>
      <c r="E372" s="452" t="s">
        <v>902</v>
      </c>
      <c r="F372" s="452" t="s">
        <v>1199</v>
      </c>
      <c r="G372" s="452" t="s">
        <v>1066</v>
      </c>
      <c r="H372" s="452" t="s">
        <v>1007</v>
      </c>
      <c r="I372" s="453" t="s">
        <v>844</v>
      </c>
      <c r="J372" s="453">
        <v>81.45</v>
      </c>
      <c r="K372" s="461">
        <v>81.45</v>
      </c>
      <c r="L372" s="461">
        <v>0</v>
      </c>
      <c r="M372" s="461">
        <v>0</v>
      </c>
      <c r="N372" s="461">
        <v>0</v>
      </c>
      <c r="O372" s="461">
        <v>0</v>
      </c>
      <c r="P372" s="461">
        <v>0</v>
      </c>
      <c r="Q372" s="461">
        <v>0</v>
      </c>
      <c r="R372" s="461">
        <v>0</v>
      </c>
      <c r="S372" s="461">
        <v>0</v>
      </c>
      <c r="T372" s="461">
        <v>0</v>
      </c>
      <c r="U372" s="461">
        <v>0</v>
      </c>
      <c r="V372" s="461">
        <v>0</v>
      </c>
    </row>
    <row r="373" spans="1:22" s="455" customFormat="1" hidden="1">
      <c r="A373" s="455" t="str">
        <f t="shared" si="10"/>
        <v>11309101101000</v>
      </c>
      <c r="B373" s="455">
        <f>VLOOKUP(LEFT($C$3:$C$2600,3),Table!$D$2:$E$88,2,FALSE)</f>
        <v>0</v>
      </c>
      <c r="C373" s="455" t="str">
        <f t="shared" si="11"/>
        <v>9101101000</v>
      </c>
      <c r="D373" s="455" t="e">
        <f>VLOOKUP(G373,Table!$G$3:$H$21,2,FALSE)</f>
        <v>#N/A</v>
      </c>
      <c r="E373" s="452" t="s">
        <v>902</v>
      </c>
      <c r="F373" s="452" t="s">
        <v>1199</v>
      </c>
      <c r="G373" s="452" t="s">
        <v>1067</v>
      </c>
      <c r="H373" s="452" t="s">
        <v>1068</v>
      </c>
      <c r="I373" s="453" t="s">
        <v>844</v>
      </c>
      <c r="J373" s="453">
        <v>5849.53</v>
      </c>
      <c r="K373" s="461">
        <v>7257.15</v>
      </c>
      <c r="L373" s="461">
        <v>0</v>
      </c>
      <c r="M373" s="461">
        <v>-1407.62</v>
      </c>
      <c r="N373" s="461">
        <v>0</v>
      </c>
      <c r="O373" s="461">
        <v>0</v>
      </c>
      <c r="P373" s="461">
        <v>0</v>
      </c>
      <c r="Q373" s="461">
        <v>0</v>
      </c>
      <c r="R373" s="461">
        <v>0</v>
      </c>
      <c r="S373" s="461">
        <v>0</v>
      </c>
      <c r="T373" s="461">
        <v>0</v>
      </c>
      <c r="U373" s="461">
        <v>0</v>
      </c>
      <c r="V373" s="461">
        <v>0</v>
      </c>
    </row>
    <row r="374" spans="1:22" s="455" customFormat="1" hidden="1">
      <c r="A374" s="455" t="str">
        <f t="shared" si="10"/>
        <v>11309101101100</v>
      </c>
      <c r="B374" s="455">
        <f>VLOOKUP(LEFT($C$3:$C$2600,3),Table!$D$2:$E$88,2,FALSE)</f>
        <v>0</v>
      </c>
      <c r="C374" s="455" t="str">
        <f t="shared" si="11"/>
        <v>9101101100</v>
      </c>
      <c r="D374" s="455" t="e">
        <f>VLOOKUP(G374,Table!$G$3:$H$21,2,FALSE)</f>
        <v>#N/A</v>
      </c>
      <c r="E374" s="452" t="s">
        <v>902</v>
      </c>
      <c r="F374" s="452" t="s">
        <v>1199</v>
      </c>
      <c r="G374" s="452" t="s">
        <v>1069</v>
      </c>
      <c r="H374" s="452" t="s">
        <v>1070</v>
      </c>
      <c r="I374" s="453" t="s">
        <v>844</v>
      </c>
      <c r="J374" s="453">
        <v>4163.76</v>
      </c>
      <c r="K374" s="461">
        <v>4725.95</v>
      </c>
      <c r="L374" s="461">
        <v>0</v>
      </c>
      <c r="M374" s="461">
        <v>-562.19000000000005</v>
      </c>
      <c r="N374" s="461">
        <v>0</v>
      </c>
      <c r="O374" s="461">
        <v>0</v>
      </c>
      <c r="P374" s="461">
        <v>0</v>
      </c>
      <c r="Q374" s="461">
        <v>0</v>
      </c>
      <c r="R374" s="461">
        <v>0</v>
      </c>
      <c r="S374" s="461">
        <v>0</v>
      </c>
      <c r="T374" s="461">
        <v>0</v>
      </c>
      <c r="U374" s="461">
        <v>0</v>
      </c>
      <c r="V374" s="461">
        <v>0</v>
      </c>
    </row>
    <row r="375" spans="1:22" s="455" customFormat="1" hidden="1">
      <c r="A375" s="455" t="str">
        <f t="shared" si="10"/>
        <v>11309101101200</v>
      </c>
      <c r="B375" s="455">
        <f>VLOOKUP(LEFT($C$3:$C$2600,3),Table!$D$2:$E$88,2,FALSE)</f>
        <v>0</v>
      </c>
      <c r="C375" s="455" t="str">
        <f t="shared" si="11"/>
        <v>9101101200</v>
      </c>
      <c r="D375" s="455" t="e">
        <f>VLOOKUP(G375,Table!$G$3:$H$21,2,FALSE)</f>
        <v>#N/A</v>
      </c>
      <c r="E375" s="452" t="s">
        <v>902</v>
      </c>
      <c r="F375" s="452" t="s">
        <v>1199</v>
      </c>
      <c r="G375" s="452" t="s">
        <v>1071</v>
      </c>
      <c r="H375" s="452" t="s">
        <v>1072</v>
      </c>
      <c r="I375" s="453" t="s">
        <v>844</v>
      </c>
      <c r="J375" s="453">
        <v>881.26</v>
      </c>
      <c r="K375" s="461">
        <v>881.26</v>
      </c>
      <c r="L375" s="461">
        <v>0</v>
      </c>
      <c r="M375" s="461">
        <v>0</v>
      </c>
      <c r="N375" s="461">
        <v>0</v>
      </c>
      <c r="O375" s="461">
        <v>0</v>
      </c>
      <c r="P375" s="461">
        <v>0</v>
      </c>
      <c r="Q375" s="461">
        <v>0</v>
      </c>
      <c r="R375" s="461">
        <v>0</v>
      </c>
      <c r="S375" s="461">
        <v>0</v>
      </c>
      <c r="T375" s="461">
        <v>0</v>
      </c>
      <c r="U375" s="461">
        <v>0</v>
      </c>
      <c r="V375" s="461">
        <v>0</v>
      </c>
    </row>
    <row r="376" spans="1:22" s="455" customFormat="1" hidden="1">
      <c r="A376" s="455" t="str">
        <f t="shared" si="10"/>
        <v>11309101101400</v>
      </c>
      <c r="B376" s="455">
        <f>VLOOKUP(LEFT($C$3:$C$2600,3),Table!$D$2:$E$88,2,FALSE)</f>
        <v>0</v>
      </c>
      <c r="C376" s="455" t="str">
        <f t="shared" si="11"/>
        <v>9101101400</v>
      </c>
      <c r="D376" s="455" t="e">
        <f>VLOOKUP(G376,Table!$G$3:$H$21,2,FALSE)</f>
        <v>#N/A</v>
      </c>
      <c r="E376" s="452" t="s">
        <v>902</v>
      </c>
      <c r="F376" s="452" t="s">
        <v>1199</v>
      </c>
      <c r="G376" s="452" t="s">
        <v>1075</v>
      </c>
      <c r="H376" s="452" t="s">
        <v>1076</v>
      </c>
      <c r="I376" s="453" t="s">
        <v>844</v>
      </c>
      <c r="J376" s="453">
        <v>1250</v>
      </c>
      <c r="K376" s="461">
        <v>1250</v>
      </c>
      <c r="L376" s="461">
        <v>0</v>
      </c>
      <c r="M376" s="461">
        <v>0</v>
      </c>
      <c r="N376" s="461">
        <v>0</v>
      </c>
      <c r="O376" s="461">
        <v>0</v>
      </c>
      <c r="P376" s="461">
        <v>0</v>
      </c>
      <c r="Q376" s="461">
        <v>0</v>
      </c>
      <c r="R376" s="461">
        <v>0</v>
      </c>
      <c r="S376" s="461">
        <v>0</v>
      </c>
      <c r="T376" s="461">
        <v>0</v>
      </c>
      <c r="U376" s="461">
        <v>0</v>
      </c>
      <c r="V376" s="461">
        <v>0</v>
      </c>
    </row>
    <row r="377" spans="1:22" s="455" customFormat="1" hidden="1">
      <c r="A377" s="455" t="str">
        <f t="shared" si="10"/>
        <v>11309101101410</v>
      </c>
      <c r="B377" s="455">
        <f>VLOOKUP(LEFT($C$3:$C$2600,3),Table!$D$2:$E$88,2,FALSE)</f>
        <v>0</v>
      </c>
      <c r="C377" s="455" t="str">
        <f t="shared" si="11"/>
        <v>9101101410</v>
      </c>
      <c r="D377" s="455" t="e">
        <f>VLOOKUP(G377,Table!$G$3:$H$21,2,FALSE)</f>
        <v>#N/A</v>
      </c>
      <c r="E377" s="452" t="s">
        <v>902</v>
      </c>
      <c r="F377" s="452" t="s">
        <v>1199</v>
      </c>
      <c r="G377" s="452" t="s">
        <v>1077</v>
      </c>
      <c r="H377" s="452" t="s">
        <v>1078</v>
      </c>
      <c r="I377" s="453" t="s">
        <v>844</v>
      </c>
      <c r="J377" s="453">
        <v>75</v>
      </c>
      <c r="K377" s="461">
        <v>75</v>
      </c>
      <c r="L377" s="461">
        <v>0</v>
      </c>
      <c r="M377" s="461">
        <v>0</v>
      </c>
      <c r="N377" s="461">
        <v>0</v>
      </c>
      <c r="O377" s="461">
        <v>0</v>
      </c>
      <c r="P377" s="461">
        <v>0</v>
      </c>
      <c r="Q377" s="461">
        <v>0</v>
      </c>
      <c r="R377" s="461">
        <v>0</v>
      </c>
      <c r="S377" s="461">
        <v>0</v>
      </c>
      <c r="T377" s="461">
        <v>0</v>
      </c>
      <c r="U377" s="461">
        <v>0</v>
      </c>
      <c r="V377" s="461">
        <v>0</v>
      </c>
    </row>
    <row r="378" spans="1:22" s="455" customFormat="1" hidden="1">
      <c r="A378" s="455" t="str">
        <f t="shared" si="10"/>
        <v>11309101101500</v>
      </c>
      <c r="B378" s="455">
        <f>VLOOKUP(LEFT($C$3:$C$2600,3),Table!$D$2:$E$88,2,FALSE)</f>
        <v>0</v>
      </c>
      <c r="C378" s="455" t="str">
        <f t="shared" si="11"/>
        <v>9101101500</v>
      </c>
      <c r="D378" s="455" t="e">
        <f>VLOOKUP(G378,Table!$G$3:$H$21,2,FALSE)</f>
        <v>#N/A</v>
      </c>
      <c r="E378" s="452" t="s">
        <v>902</v>
      </c>
      <c r="F378" s="452" t="s">
        <v>1199</v>
      </c>
      <c r="G378" s="452" t="s">
        <v>1079</v>
      </c>
      <c r="H378" s="452" t="s">
        <v>1080</v>
      </c>
      <c r="I378" s="453" t="s">
        <v>844</v>
      </c>
      <c r="J378" s="453">
        <v>219.65</v>
      </c>
      <c r="K378" s="461">
        <v>219.65</v>
      </c>
      <c r="L378" s="461">
        <v>0</v>
      </c>
      <c r="M378" s="461">
        <v>0</v>
      </c>
      <c r="N378" s="461">
        <v>0</v>
      </c>
      <c r="O378" s="461">
        <v>0</v>
      </c>
      <c r="P378" s="461">
        <v>0</v>
      </c>
      <c r="Q378" s="461">
        <v>0</v>
      </c>
      <c r="R378" s="461">
        <v>0</v>
      </c>
      <c r="S378" s="461">
        <v>0</v>
      </c>
      <c r="T378" s="461">
        <v>0</v>
      </c>
      <c r="U378" s="461">
        <v>0</v>
      </c>
      <c r="V378" s="461">
        <v>0</v>
      </c>
    </row>
    <row r="379" spans="1:22" s="455" customFormat="1" hidden="1">
      <c r="A379" s="455" t="str">
        <f t="shared" si="10"/>
        <v>11309101101600</v>
      </c>
      <c r="B379" s="455">
        <f>VLOOKUP(LEFT($C$3:$C$2600,3),Table!$D$2:$E$88,2,FALSE)</f>
        <v>0</v>
      </c>
      <c r="C379" s="455" t="str">
        <f t="shared" si="11"/>
        <v>9101101600</v>
      </c>
      <c r="D379" s="455" t="e">
        <f>VLOOKUP(G379,Table!$G$3:$H$21,2,FALSE)</f>
        <v>#N/A</v>
      </c>
      <c r="E379" s="452" t="s">
        <v>902</v>
      </c>
      <c r="F379" s="452" t="s">
        <v>1199</v>
      </c>
      <c r="G379" s="452" t="s">
        <v>1081</v>
      </c>
      <c r="H379" s="452" t="s">
        <v>1082</v>
      </c>
      <c r="I379" s="453" t="s">
        <v>844</v>
      </c>
      <c r="J379" s="453">
        <v>1657.2</v>
      </c>
      <c r="K379" s="461">
        <v>1657.2</v>
      </c>
      <c r="L379" s="461">
        <v>0</v>
      </c>
      <c r="M379" s="461">
        <v>0</v>
      </c>
      <c r="N379" s="461">
        <v>0</v>
      </c>
      <c r="O379" s="461">
        <v>0</v>
      </c>
      <c r="P379" s="461">
        <v>0</v>
      </c>
      <c r="Q379" s="461">
        <v>0</v>
      </c>
      <c r="R379" s="461">
        <v>0</v>
      </c>
      <c r="S379" s="461">
        <v>0</v>
      </c>
      <c r="T379" s="461">
        <v>0</v>
      </c>
      <c r="U379" s="461">
        <v>0</v>
      </c>
      <c r="V379" s="461">
        <v>0</v>
      </c>
    </row>
    <row r="380" spans="1:22" s="455" customFormat="1" hidden="1">
      <c r="A380" s="455" t="str">
        <f t="shared" si="10"/>
        <v>11309101101700</v>
      </c>
      <c r="B380" s="455">
        <f>VLOOKUP(LEFT($C$3:$C$2600,3),Table!$D$2:$E$88,2,FALSE)</f>
        <v>0</v>
      </c>
      <c r="C380" s="455" t="str">
        <f t="shared" si="11"/>
        <v>9101101700</v>
      </c>
      <c r="D380" s="455" t="e">
        <f>VLOOKUP(G380,Table!$G$3:$H$21,2,FALSE)</f>
        <v>#N/A</v>
      </c>
      <c r="E380" s="452" t="s">
        <v>902</v>
      </c>
      <c r="F380" s="452" t="s">
        <v>1199</v>
      </c>
      <c r="G380" s="452" t="s">
        <v>1083</v>
      </c>
      <c r="H380" s="452" t="s">
        <v>1084</v>
      </c>
      <c r="I380" s="453" t="s">
        <v>844</v>
      </c>
      <c r="J380" s="453">
        <v>-8758.77</v>
      </c>
      <c r="K380" s="461">
        <v>-177.58</v>
      </c>
      <c r="L380" s="461">
        <v>0</v>
      </c>
      <c r="M380" s="461">
        <v>-8581.19</v>
      </c>
      <c r="N380" s="461">
        <v>0</v>
      </c>
      <c r="O380" s="461">
        <v>0</v>
      </c>
      <c r="P380" s="461">
        <v>0</v>
      </c>
      <c r="Q380" s="461">
        <v>0</v>
      </c>
      <c r="R380" s="461">
        <v>0</v>
      </c>
      <c r="S380" s="461">
        <v>0</v>
      </c>
      <c r="T380" s="461">
        <v>0</v>
      </c>
      <c r="U380" s="461">
        <v>0</v>
      </c>
      <c r="V380" s="461">
        <v>0</v>
      </c>
    </row>
    <row r="381" spans="1:22" s="455" customFormat="1" hidden="1">
      <c r="A381" s="455" t="str">
        <f t="shared" si="10"/>
        <v>11309101101800</v>
      </c>
      <c r="B381" s="455">
        <f>VLOOKUP(LEFT($C$3:$C$2600,3),Table!$D$2:$E$88,2,FALSE)</f>
        <v>0</v>
      </c>
      <c r="C381" s="455" t="str">
        <f t="shared" si="11"/>
        <v>9101101800</v>
      </c>
      <c r="D381" s="455" t="e">
        <f>VLOOKUP(G381,Table!$G$3:$H$21,2,FALSE)</f>
        <v>#N/A</v>
      </c>
      <c r="E381" s="452" t="s">
        <v>902</v>
      </c>
      <c r="F381" s="452" t="s">
        <v>1199</v>
      </c>
      <c r="G381" s="452" t="s">
        <v>1085</v>
      </c>
      <c r="H381" s="452" t="s">
        <v>1086</v>
      </c>
      <c r="I381" s="453" t="s">
        <v>844</v>
      </c>
      <c r="J381" s="453">
        <v>888.7</v>
      </c>
      <c r="K381" s="461">
        <v>888.7</v>
      </c>
      <c r="L381" s="461">
        <v>0</v>
      </c>
      <c r="M381" s="461">
        <v>0</v>
      </c>
      <c r="N381" s="461">
        <v>0</v>
      </c>
      <c r="O381" s="461">
        <v>0</v>
      </c>
      <c r="P381" s="461">
        <v>0</v>
      </c>
      <c r="Q381" s="461">
        <v>0</v>
      </c>
      <c r="R381" s="461">
        <v>0</v>
      </c>
      <c r="S381" s="461">
        <v>0</v>
      </c>
      <c r="T381" s="461">
        <v>0</v>
      </c>
      <c r="U381" s="461">
        <v>0</v>
      </c>
      <c r="V381" s="461">
        <v>0</v>
      </c>
    </row>
    <row r="382" spans="1:22" s="455" customFormat="1" hidden="1">
      <c r="A382" s="455" t="str">
        <f t="shared" si="10"/>
        <v>11309101101900</v>
      </c>
      <c r="B382" s="455">
        <f>VLOOKUP(LEFT($C$3:$C$2600,3),Table!$D$2:$E$88,2,FALSE)</f>
        <v>0</v>
      </c>
      <c r="C382" s="455" t="str">
        <f t="shared" si="11"/>
        <v>9101101900</v>
      </c>
      <c r="D382" s="455" t="e">
        <f>VLOOKUP(G382,Table!$G$3:$H$21,2,FALSE)</f>
        <v>#N/A</v>
      </c>
      <c r="E382" s="452" t="s">
        <v>902</v>
      </c>
      <c r="F382" s="452" t="s">
        <v>1199</v>
      </c>
      <c r="G382" s="452" t="s">
        <v>1087</v>
      </c>
      <c r="H382" s="452" t="s">
        <v>1088</v>
      </c>
      <c r="I382" s="453" t="s">
        <v>844</v>
      </c>
      <c r="J382" s="453">
        <v>81.3</v>
      </c>
      <c r="K382" s="461">
        <v>81.3</v>
      </c>
      <c r="L382" s="461">
        <v>0</v>
      </c>
      <c r="M382" s="461">
        <v>0</v>
      </c>
      <c r="N382" s="461">
        <v>0</v>
      </c>
      <c r="O382" s="461">
        <v>0</v>
      </c>
      <c r="P382" s="461">
        <v>0</v>
      </c>
      <c r="Q382" s="461">
        <v>0</v>
      </c>
      <c r="R382" s="461">
        <v>0</v>
      </c>
      <c r="S382" s="461">
        <v>0</v>
      </c>
      <c r="T382" s="461">
        <v>0</v>
      </c>
      <c r="U382" s="461">
        <v>0</v>
      </c>
      <c r="V382" s="461">
        <v>0</v>
      </c>
    </row>
    <row r="383" spans="1:22" s="455" customFormat="1" hidden="1">
      <c r="A383" s="455" t="str">
        <f t="shared" si="10"/>
        <v>11309101201000</v>
      </c>
      <c r="B383" s="455">
        <f>VLOOKUP(LEFT($C$3:$C$2600,3),Table!$D$2:$E$88,2,FALSE)</f>
        <v>0</v>
      </c>
      <c r="C383" s="455" t="str">
        <f t="shared" si="11"/>
        <v>9101201000</v>
      </c>
      <c r="D383" s="455" t="e">
        <f>VLOOKUP(G383,Table!$G$3:$H$21,2,FALSE)</f>
        <v>#N/A</v>
      </c>
      <c r="E383" s="452" t="s">
        <v>902</v>
      </c>
      <c r="F383" s="452" t="s">
        <v>1199</v>
      </c>
      <c r="G383" s="452" t="s">
        <v>1091</v>
      </c>
      <c r="H383" s="452" t="s">
        <v>1092</v>
      </c>
      <c r="I383" s="453" t="s">
        <v>844</v>
      </c>
      <c r="J383" s="453">
        <v>40296</v>
      </c>
      <c r="K383" s="461">
        <v>40296</v>
      </c>
      <c r="L383" s="461">
        <v>0</v>
      </c>
      <c r="M383" s="461">
        <v>0</v>
      </c>
      <c r="N383" s="461">
        <v>0</v>
      </c>
      <c r="O383" s="461">
        <v>0</v>
      </c>
      <c r="P383" s="461">
        <v>0</v>
      </c>
      <c r="Q383" s="461">
        <v>0</v>
      </c>
      <c r="R383" s="461">
        <v>0</v>
      </c>
      <c r="S383" s="461">
        <v>0</v>
      </c>
      <c r="T383" s="461">
        <v>0</v>
      </c>
      <c r="U383" s="461">
        <v>0</v>
      </c>
      <c r="V383" s="461">
        <v>0</v>
      </c>
    </row>
    <row r="384" spans="1:22" s="455" customFormat="1" hidden="1">
      <c r="A384" s="455" t="str">
        <f t="shared" si="10"/>
        <v>11309101301000</v>
      </c>
      <c r="B384" s="455">
        <f>VLOOKUP(LEFT($C$3:$C$2600,3),Table!$D$2:$E$88,2,FALSE)</f>
        <v>0</v>
      </c>
      <c r="C384" s="455" t="str">
        <f t="shared" si="11"/>
        <v>9101301000</v>
      </c>
      <c r="D384" s="455" t="e">
        <f>VLOOKUP(G384,Table!$G$3:$H$21,2,FALSE)</f>
        <v>#N/A</v>
      </c>
      <c r="E384" s="452" t="s">
        <v>902</v>
      </c>
      <c r="F384" s="452" t="s">
        <v>1199</v>
      </c>
      <c r="G384" s="452" t="s">
        <v>967</v>
      </c>
      <c r="H384" s="452" t="s">
        <v>968</v>
      </c>
      <c r="I384" s="453" t="s">
        <v>844</v>
      </c>
      <c r="J384" s="453">
        <v>10072</v>
      </c>
      <c r="K384" s="461">
        <v>0</v>
      </c>
      <c r="L384" s="461">
        <v>10072</v>
      </c>
      <c r="M384" s="461">
        <v>0</v>
      </c>
      <c r="N384" s="461">
        <v>0</v>
      </c>
      <c r="O384" s="461">
        <v>0</v>
      </c>
      <c r="P384" s="461">
        <v>0</v>
      </c>
      <c r="Q384" s="461">
        <v>0</v>
      </c>
      <c r="R384" s="461">
        <v>0</v>
      </c>
      <c r="S384" s="461">
        <v>0</v>
      </c>
      <c r="T384" s="461">
        <v>0</v>
      </c>
      <c r="U384" s="461">
        <v>0</v>
      </c>
      <c r="V384" s="461">
        <v>0</v>
      </c>
    </row>
    <row r="385" spans="1:22" s="455" customFormat="1" hidden="1">
      <c r="A385" s="455" t="str">
        <f t="shared" si="10"/>
        <v>11309101301200</v>
      </c>
      <c r="B385" s="455">
        <f>VLOOKUP(LEFT($C$3:$C$2600,3),Table!$D$2:$E$88,2,FALSE)</f>
        <v>0</v>
      </c>
      <c r="C385" s="455" t="str">
        <f t="shared" si="11"/>
        <v>9101301200</v>
      </c>
      <c r="D385" s="455" t="e">
        <f>VLOOKUP(G385,Table!$G$3:$H$21,2,FALSE)</f>
        <v>#N/A</v>
      </c>
      <c r="E385" s="452" t="s">
        <v>902</v>
      </c>
      <c r="F385" s="452" t="s">
        <v>1199</v>
      </c>
      <c r="G385" s="452" t="s">
        <v>969</v>
      </c>
      <c r="H385" s="452" t="s">
        <v>970</v>
      </c>
      <c r="I385" s="453" t="s">
        <v>844</v>
      </c>
      <c r="J385" s="453">
        <v>44272.84</v>
      </c>
      <c r="K385" s="461">
        <v>29325.84</v>
      </c>
      <c r="L385" s="461">
        <v>14947</v>
      </c>
      <c r="M385" s="461">
        <v>0</v>
      </c>
      <c r="N385" s="461">
        <v>0</v>
      </c>
      <c r="O385" s="461">
        <v>0</v>
      </c>
      <c r="P385" s="461">
        <v>0</v>
      </c>
      <c r="Q385" s="461">
        <v>0</v>
      </c>
      <c r="R385" s="461">
        <v>0</v>
      </c>
      <c r="S385" s="461">
        <v>0</v>
      </c>
      <c r="T385" s="461">
        <v>0</v>
      </c>
      <c r="U385" s="461">
        <v>0</v>
      </c>
      <c r="V385" s="461">
        <v>0</v>
      </c>
    </row>
    <row r="386" spans="1:22" s="455" customFormat="1" hidden="1">
      <c r="A386" s="455" t="str">
        <f t="shared" si="10"/>
        <v>11309101301500</v>
      </c>
      <c r="B386" s="455">
        <f>VLOOKUP(LEFT($C$3:$C$2600,3),Table!$D$2:$E$88,2,FALSE)</f>
        <v>0</v>
      </c>
      <c r="C386" s="455" t="str">
        <f t="shared" si="11"/>
        <v>9101301500</v>
      </c>
      <c r="D386" s="455" t="e">
        <f>VLOOKUP(G386,Table!$G$3:$H$21,2,FALSE)</f>
        <v>#N/A</v>
      </c>
      <c r="E386" s="452" t="s">
        <v>902</v>
      </c>
      <c r="F386" s="452" t="s">
        <v>1199</v>
      </c>
      <c r="G386" s="452" t="s">
        <v>971</v>
      </c>
      <c r="H386" s="452" t="s">
        <v>972</v>
      </c>
      <c r="I386" s="453" t="s">
        <v>844</v>
      </c>
      <c r="J386" s="453">
        <v>316.5</v>
      </c>
      <c r="K386" s="461">
        <v>83</v>
      </c>
      <c r="L386" s="461">
        <v>233.5</v>
      </c>
      <c r="M386" s="461">
        <v>0</v>
      </c>
      <c r="N386" s="461">
        <v>0</v>
      </c>
      <c r="O386" s="461">
        <v>0</v>
      </c>
      <c r="P386" s="461">
        <v>0</v>
      </c>
      <c r="Q386" s="461">
        <v>0</v>
      </c>
      <c r="R386" s="461">
        <v>0</v>
      </c>
      <c r="S386" s="461">
        <v>0</v>
      </c>
      <c r="T386" s="461">
        <v>0</v>
      </c>
      <c r="U386" s="461">
        <v>0</v>
      </c>
      <c r="V386" s="461">
        <v>0</v>
      </c>
    </row>
    <row r="387" spans="1:22" s="455" customFormat="1" hidden="1">
      <c r="A387" s="455" t="str">
        <f t="shared" si="10"/>
        <v>11309101302500</v>
      </c>
      <c r="B387" s="455">
        <f>VLOOKUP(LEFT($C$3:$C$2600,3),Table!$D$2:$E$88,2,FALSE)</f>
        <v>0</v>
      </c>
      <c r="C387" s="455" t="str">
        <f t="shared" si="11"/>
        <v>9101302500</v>
      </c>
      <c r="D387" s="455" t="e">
        <f>VLOOKUP(G387,Table!$G$3:$H$21,2,FALSE)</f>
        <v>#N/A</v>
      </c>
      <c r="E387" s="452" t="s">
        <v>902</v>
      </c>
      <c r="F387" s="452" t="s">
        <v>1199</v>
      </c>
      <c r="G387" s="452" t="s">
        <v>973</v>
      </c>
      <c r="H387" s="452" t="s">
        <v>974</v>
      </c>
      <c r="I387" s="453" t="s">
        <v>844</v>
      </c>
      <c r="J387" s="453">
        <v>6420.4</v>
      </c>
      <c r="K387" s="461">
        <v>1831.4</v>
      </c>
      <c r="L387" s="461">
        <v>4589</v>
      </c>
      <c r="M387" s="461">
        <v>0</v>
      </c>
      <c r="N387" s="461">
        <v>0</v>
      </c>
      <c r="O387" s="461">
        <v>0</v>
      </c>
      <c r="P387" s="461">
        <v>0</v>
      </c>
      <c r="Q387" s="461">
        <v>0</v>
      </c>
      <c r="R387" s="461">
        <v>0</v>
      </c>
      <c r="S387" s="461">
        <v>0</v>
      </c>
      <c r="T387" s="461">
        <v>0</v>
      </c>
      <c r="U387" s="461">
        <v>0</v>
      </c>
      <c r="V387" s="461">
        <v>0</v>
      </c>
    </row>
    <row r="388" spans="1:22" s="455" customFormat="1" hidden="1">
      <c r="A388" s="455" t="str">
        <f t="shared" ref="A388:A451" si="12">F388&amp;G388</f>
        <v>11309101303800</v>
      </c>
      <c r="B388" s="455">
        <f>VLOOKUP(LEFT($C$3:$C$2600,3),Table!$D$2:$E$88,2,FALSE)</f>
        <v>0</v>
      </c>
      <c r="C388" s="455" t="str">
        <f t="shared" ref="C388:C451" si="13">IF(ISNA(D388),G388,D388)</f>
        <v>9101303800</v>
      </c>
      <c r="D388" s="455" t="e">
        <f>VLOOKUP(G388,Table!$G$3:$H$21,2,FALSE)</f>
        <v>#N/A</v>
      </c>
      <c r="E388" s="452" t="s">
        <v>902</v>
      </c>
      <c r="F388" s="452" t="s">
        <v>1199</v>
      </c>
      <c r="G388" s="452" t="s">
        <v>1163</v>
      </c>
      <c r="H388" s="452" t="s">
        <v>1200</v>
      </c>
      <c r="I388" s="453" t="s">
        <v>844</v>
      </c>
      <c r="J388" s="453">
        <v>82403.100000000006</v>
      </c>
      <c r="K388" s="461">
        <v>82403.100000000006</v>
      </c>
      <c r="L388" s="461">
        <v>0</v>
      </c>
      <c r="M388" s="461">
        <v>0</v>
      </c>
      <c r="N388" s="461">
        <v>0</v>
      </c>
      <c r="O388" s="461">
        <v>0</v>
      </c>
      <c r="P388" s="461">
        <v>0</v>
      </c>
      <c r="Q388" s="461">
        <v>0</v>
      </c>
      <c r="R388" s="461">
        <v>0</v>
      </c>
      <c r="S388" s="461">
        <v>0</v>
      </c>
      <c r="T388" s="461">
        <v>0</v>
      </c>
      <c r="U388" s="461">
        <v>0</v>
      </c>
      <c r="V388" s="461">
        <v>0</v>
      </c>
    </row>
    <row r="389" spans="1:22" s="455" customFormat="1" hidden="1">
      <c r="A389" s="455" t="str">
        <f t="shared" si="12"/>
        <v>11309101303900</v>
      </c>
      <c r="B389" s="455">
        <f>VLOOKUP(LEFT($C$3:$C$2600,3),Table!$D$2:$E$88,2,FALSE)</f>
        <v>0</v>
      </c>
      <c r="C389" s="455" t="str">
        <f t="shared" si="13"/>
        <v>9101303900</v>
      </c>
      <c r="D389" s="455" t="e">
        <f>VLOOKUP(G389,Table!$G$3:$H$21,2,FALSE)</f>
        <v>#N/A</v>
      </c>
      <c r="E389" s="452" t="s">
        <v>902</v>
      </c>
      <c r="F389" s="452" t="s">
        <v>1199</v>
      </c>
      <c r="G389" s="452" t="s">
        <v>979</v>
      </c>
      <c r="H389" s="452" t="s">
        <v>980</v>
      </c>
      <c r="I389" s="453" t="s">
        <v>844</v>
      </c>
      <c r="J389" s="453">
        <v>2347.0700000000002</v>
      </c>
      <c r="K389" s="461">
        <v>2347.0700000000002</v>
      </c>
      <c r="L389" s="461">
        <v>0</v>
      </c>
      <c r="M389" s="461">
        <v>0</v>
      </c>
      <c r="N389" s="461">
        <v>0</v>
      </c>
      <c r="O389" s="461">
        <v>0</v>
      </c>
      <c r="P389" s="461">
        <v>0</v>
      </c>
      <c r="Q389" s="461">
        <v>0</v>
      </c>
      <c r="R389" s="461">
        <v>0</v>
      </c>
      <c r="S389" s="461">
        <v>0</v>
      </c>
      <c r="T389" s="461">
        <v>0</v>
      </c>
      <c r="U389" s="461">
        <v>0</v>
      </c>
      <c r="V389" s="461">
        <v>0</v>
      </c>
    </row>
    <row r="390" spans="1:22" s="455" customFormat="1" hidden="1">
      <c r="A390" s="455" t="str">
        <f t="shared" si="12"/>
        <v>11309101306300</v>
      </c>
      <c r="B390" s="455">
        <f>VLOOKUP(LEFT($C$3:$C$2600,3),Table!$D$2:$E$88,2,FALSE)</f>
        <v>0</v>
      </c>
      <c r="C390" s="455" t="str">
        <f t="shared" si="13"/>
        <v>9101306300</v>
      </c>
      <c r="D390" s="455" t="e">
        <f>VLOOKUP(G390,Table!$G$3:$H$21,2,FALSE)</f>
        <v>#N/A</v>
      </c>
      <c r="E390" s="452" t="s">
        <v>902</v>
      </c>
      <c r="F390" s="452" t="s">
        <v>1199</v>
      </c>
      <c r="G390" s="452" t="s">
        <v>1164</v>
      </c>
      <c r="H390" s="452" t="s">
        <v>1165</v>
      </c>
      <c r="I390" s="453" t="s">
        <v>844</v>
      </c>
      <c r="J390" s="453">
        <v>3630</v>
      </c>
      <c r="K390" s="461">
        <v>2383</v>
      </c>
      <c r="L390" s="461">
        <v>1035</v>
      </c>
      <c r="M390" s="461">
        <v>106</v>
      </c>
      <c r="N390" s="461">
        <v>0</v>
      </c>
      <c r="O390" s="461">
        <v>0</v>
      </c>
      <c r="P390" s="461">
        <v>0</v>
      </c>
      <c r="Q390" s="461">
        <v>0</v>
      </c>
      <c r="R390" s="461">
        <v>0</v>
      </c>
      <c r="S390" s="461">
        <v>0</v>
      </c>
      <c r="T390" s="461">
        <v>0</v>
      </c>
      <c r="U390" s="461">
        <v>0</v>
      </c>
      <c r="V390" s="461">
        <v>0</v>
      </c>
    </row>
    <row r="391" spans="1:22" s="455" customFormat="1" hidden="1">
      <c r="A391" s="455" t="str">
        <f t="shared" si="12"/>
        <v>11309150900000</v>
      </c>
      <c r="B391" s="455">
        <f>VLOOKUP(LEFT($C$3:$C$2600,3),Table!$D$2:$E$88,2,FALSE)</f>
        <v>0</v>
      </c>
      <c r="C391" s="455" t="str">
        <f t="shared" si="13"/>
        <v>9150900000</v>
      </c>
      <c r="D391" s="455" t="e">
        <f>VLOOKUP(G391,Table!$G$3:$H$21,2,FALSE)</f>
        <v>#N/A</v>
      </c>
      <c r="E391" s="452" t="s">
        <v>902</v>
      </c>
      <c r="F391" s="452" t="s">
        <v>1199</v>
      </c>
      <c r="G391" s="452" t="s">
        <v>1008</v>
      </c>
      <c r="H391" s="452" t="s">
        <v>966</v>
      </c>
      <c r="I391" s="453" t="s">
        <v>844</v>
      </c>
      <c r="J391" s="453">
        <v>5060</v>
      </c>
      <c r="K391" s="461">
        <v>1680</v>
      </c>
      <c r="L391" s="461">
        <v>3380</v>
      </c>
      <c r="M391" s="461">
        <v>0</v>
      </c>
      <c r="N391" s="461">
        <v>0</v>
      </c>
      <c r="O391" s="461">
        <v>0</v>
      </c>
      <c r="P391" s="461">
        <v>0</v>
      </c>
      <c r="Q391" s="461">
        <v>0</v>
      </c>
      <c r="R391" s="461">
        <v>0</v>
      </c>
      <c r="S391" s="461">
        <v>0</v>
      </c>
      <c r="T391" s="461">
        <v>0</v>
      </c>
      <c r="U391" s="461">
        <v>0</v>
      </c>
      <c r="V391" s="461">
        <v>0</v>
      </c>
    </row>
    <row r="392" spans="1:22" s="455" customFormat="1" hidden="1">
      <c r="A392" s="455" t="str">
        <f t="shared" si="12"/>
        <v>11309151001000</v>
      </c>
      <c r="B392" s="455">
        <f>VLOOKUP(LEFT($C$3:$C$2600,3),Table!$D$2:$E$88,2,FALSE)</f>
        <v>0</v>
      </c>
      <c r="C392" s="455" t="str">
        <f t="shared" si="13"/>
        <v>9151001000</v>
      </c>
      <c r="D392" s="455" t="e">
        <f>VLOOKUP(G392,Table!$G$3:$H$21,2,FALSE)</f>
        <v>#N/A</v>
      </c>
      <c r="E392" s="452" t="s">
        <v>902</v>
      </c>
      <c r="F392" s="452" t="s">
        <v>1199</v>
      </c>
      <c r="G392" s="452" t="s">
        <v>1129</v>
      </c>
      <c r="H392" s="452" t="s">
        <v>994</v>
      </c>
      <c r="I392" s="453" t="s">
        <v>844</v>
      </c>
      <c r="J392" s="453">
        <v>2066.3000000000002</v>
      </c>
      <c r="K392" s="461">
        <v>2066.3000000000002</v>
      </c>
      <c r="L392" s="461">
        <v>0</v>
      </c>
      <c r="M392" s="461">
        <v>0</v>
      </c>
      <c r="N392" s="461">
        <v>0</v>
      </c>
      <c r="O392" s="461">
        <v>0</v>
      </c>
      <c r="P392" s="461">
        <v>0</v>
      </c>
      <c r="Q392" s="461">
        <v>0</v>
      </c>
      <c r="R392" s="461">
        <v>0</v>
      </c>
      <c r="S392" s="461">
        <v>0</v>
      </c>
      <c r="T392" s="461">
        <v>0</v>
      </c>
      <c r="U392" s="461">
        <v>0</v>
      </c>
      <c r="V392" s="461">
        <v>0</v>
      </c>
    </row>
    <row r="393" spans="1:22" s="455" customFormat="1" hidden="1">
      <c r="A393" s="455" t="str">
        <f t="shared" si="12"/>
        <v>11309151001100</v>
      </c>
      <c r="B393" s="455">
        <f>VLOOKUP(LEFT($C$3:$C$2600,3),Table!$D$2:$E$88,2,FALSE)</f>
        <v>0</v>
      </c>
      <c r="C393" s="455" t="str">
        <f t="shared" si="13"/>
        <v>9151001100</v>
      </c>
      <c r="D393" s="455" t="e">
        <f>VLOOKUP(G393,Table!$G$3:$H$21,2,FALSE)</f>
        <v>#N/A</v>
      </c>
      <c r="E393" s="452" t="s">
        <v>902</v>
      </c>
      <c r="F393" s="452" t="s">
        <v>1199</v>
      </c>
      <c r="G393" s="452" t="s">
        <v>1130</v>
      </c>
      <c r="H393" s="452" t="s">
        <v>1131</v>
      </c>
      <c r="I393" s="453" t="s">
        <v>844</v>
      </c>
      <c r="J393" s="453">
        <v>148.44</v>
      </c>
      <c r="K393" s="461">
        <v>245.87</v>
      </c>
      <c r="L393" s="461">
        <v>0</v>
      </c>
      <c r="M393" s="461">
        <v>-97.43</v>
      </c>
      <c r="N393" s="461">
        <v>0</v>
      </c>
      <c r="O393" s="461">
        <v>0</v>
      </c>
      <c r="P393" s="461">
        <v>0</v>
      </c>
      <c r="Q393" s="461">
        <v>0</v>
      </c>
      <c r="R393" s="461">
        <v>0</v>
      </c>
      <c r="S393" s="461">
        <v>0</v>
      </c>
      <c r="T393" s="461">
        <v>0</v>
      </c>
      <c r="U393" s="461">
        <v>0</v>
      </c>
      <c r="V393" s="461">
        <v>0</v>
      </c>
    </row>
    <row r="394" spans="1:22" s="455" customFormat="1" hidden="1">
      <c r="A394" s="455" t="str">
        <f t="shared" si="12"/>
        <v>11309151001400</v>
      </c>
      <c r="B394" s="455">
        <f>VLOOKUP(LEFT($C$3:$C$2600,3),Table!$D$2:$E$88,2,FALSE)</f>
        <v>0</v>
      </c>
      <c r="C394" s="455" t="str">
        <f t="shared" si="13"/>
        <v>9151001400</v>
      </c>
      <c r="D394" s="455" t="e">
        <f>VLOOKUP(G394,Table!$G$3:$H$21,2,FALSE)</f>
        <v>#N/A</v>
      </c>
      <c r="E394" s="452" t="s">
        <v>902</v>
      </c>
      <c r="F394" s="452" t="s">
        <v>1199</v>
      </c>
      <c r="G394" s="452" t="s">
        <v>1133</v>
      </c>
      <c r="H394" s="452" t="s">
        <v>998</v>
      </c>
      <c r="I394" s="453" t="s">
        <v>844</v>
      </c>
      <c r="J394" s="453">
        <v>318</v>
      </c>
      <c r="K394" s="461">
        <v>318</v>
      </c>
      <c r="L394" s="461">
        <v>0</v>
      </c>
      <c r="M394" s="461">
        <v>0</v>
      </c>
      <c r="N394" s="461">
        <v>0</v>
      </c>
      <c r="O394" s="461">
        <v>0</v>
      </c>
      <c r="P394" s="461">
        <v>0</v>
      </c>
      <c r="Q394" s="461">
        <v>0</v>
      </c>
      <c r="R394" s="461">
        <v>0</v>
      </c>
      <c r="S394" s="461">
        <v>0</v>
      </c>
      <c r="T394" s="461">
        <v>0</v>
      </c>
      <c r="U394" s="461">
        <v>0</v>
      </c>
      <c r="V394" s="461">
        <v>0</v>
      </c>
    </row>
    <row r="395" spans="1:22" s="455" customFormat="1" hidden="1">
      <c r="A395" s="455" t="str">
        <f t="shared" si="12"/>
        <v>11309151001410</v>
      </c>
      <c r="B395" s="455">
        <f>VLOOKUP(LEFT($C$3:$C$2600,3),Table!$D$2:$E$88,2,FALSE)</f>
        <v>0</v>
      </c>
      <c r="C395" s="455" t="str">
        <f t="shared" si="13"/>
        <v>9151001410</v>
      </c>
      <c r="D395" s="455" t="e">
        <f>VLOOKUP(G395,Table!$G$3:$H$21,2,FALSE)</f>
        <v>#N/A</v>
      </c>
      <c r="E395" s="452" t="s">
        <v>902</v>
      </c>
      <c r="F395" s="452" t="s">
        <v>1199</v>
      </c>
      <c r="G395" s="452" t="s">
        <v>1134</v>
      </c>
      <c r="H395" s="452" t="s">
        <v>1078</v>
      </c>
      <c r="I395" s="453" t="s">
        <v>844</v>
      </c>
      <c r="J395" s="453">
        <v>15</v>
      </c>
      <c r="K395" s="461">
        <v>15</v>
      </c>
      <c r="L395" s="461">
        <v>0</v>
      </c>
      <c r="M395" s="461">
        <v>0</v>
      </c>
      <c r="N395" s="461">
        <v>0</v>
      </c>
      <c r="O395" s="461">
        <v>0</v>
      </c>
      <c r="P395" s="461">
        <v>0</v>
      </c>
      <c r="Q395" s="461">
        <v>0</v>
      </c>
      <c r="R395" s="461">
        <v>0</v>
      </c>
      <c r="S395" s="461">
        <v>0</v>
      </c>
      <c r="T395" s="461">
        <v>0</v>
      </c>
      <c r="U395" s="461">
        <v>0</v>
      </c>
      <c r="V395" s="461">
        <v>0</v>
      </c>
    </row>
    <row r="396" spans="1:22" s="455" customFormat="1" hidden="1">
      <c r="A396" s="455" t="str">
        <f t="shared" si="12"/>
        <v>11309151001500</v>
      </c>
      <c r="B396" s="455">
        <f>VLOOKUP(LEFT($C$3:$C$2600,3),Table!$D$2:$E$88,2,FALSE)</f>
        <v>0</v>
      </c>
      <c r="C396" s="455" t="str">
        <f t="shared" si="13"/>
        <v>9151001500</v>
      </c>
      <c r="D396" s="455" t="e">
        <f>VLOOKUP(G396,Table!$G$3:$H$21,2,FALSE)</f>
        <v>#N/A</v>
      </c>
      <c r="E396" s="452" t="s">
        <v>902</v>
      </c>
      <c r="F396" s="452" t="s">
        <v>1199</v>
      </c>
      <c r="G396" s="452" t="s">
        <v>1135</v>
      </c>
      <c r="H396" s="452" t="s">
        <v>1136</v>
      </c>
      <c r="I396" s="453" t="s">
        <v>844</v>
      </c>
      <c r="J396" s="453">
        <v>41.15</v>
      </c>
      <c r="K396" s="461">
        <v>41.15</v>
      </c>
      <c r="L396" s="461">
        <v>0</v>
      </c>
      <c r="M396" s="461">
        <v>0</v>
      </c>
      <c r="N396" s="461">
        <v>0</v>
      </c>
      <c r="O396" s="461">
        <v>0</v>
      </c>
      <c r="P396" s="461">
        <v>0</v>
      </c>
      <c r="Q396" s="461">
        <v>0</v>
      </c>
      <c r="R396" s="461">
        <v>0</v>
      </c>
      <c r="S396" s="461">
        <v>0</v>
      </c>
      <c r="T396" s="461">
        <v>0</v>
      </c>
      <c r="U396" s="461">
        <v>0</v>
      </c>
      <c r="V396" s="461">
        <v>0</v>
      </c>
    </row>
    <row r="397" spans="1:22" s="455" customFormat="1" hidden="1">
      <c r="A397" s="455" t="str">
        <f t="shared" si="12"/>
        <v>11309151001600</v>
      </c>
      <c r="B397" s="455">
        <f>VLOOKUP(LEFT($C$3:$C$2600,3),Table!$D$2:$E$88,2,FALSE)</f>
        <v>0</v>
      </c>
      <c r="C397" s="455" t="str">
        <f t="shared" si="13"/>
        <v>9151001600</v>
      </c>
      <c r="D397" s="455" t="e">
        <f>VLOOKUP(G397,Table!$G$3:$H$21,2,FALSE)</f>
        <v>#N/A</v>
      </c>
      <c r="E397" s="452" t="s">
        <v>902</v>
      </c>
      <c r="F397" s="452" t="s">
        <v>1199</v>
      </c>
      <c r="G397" s="452" t="s">
        <v>1137</v>
      </c>
      <c r="H397" s="452" t="s">
        <v>1002</v>
      </c>
      <c r="I397" s="453" t="s">
        <v>844</v>
      </c>
      <c r="J397" s="453">
        <v>471.45</v>
      </c>
      <c r="K397" s="461">
        <v>471.45</v>
      </c>
      <c r="L397" s="461">
        <v>0</v>
      </c>
      <c r="M397" s="461">
        <v>0</v>
      </c>
      <c r="N397" s="461">
        <v>0</v>
      </c>
      <c r="O397" s="461">
        <v>0</v>
      </c>
      <c r="P397" s="461">
        <v>0</v>
      </c>
      <c r="Q397" s="461">
        <v>0</v>
      </c>
      <c r="R397" s="461">
        <v>0</v>
      </c>
      <c r="S397" s="461">
        <v>0</v>
      </c>
      <c r="T397" s="461">
        <v>0</v>
      </c>
      <c r="U397" s="461">
        <v>0</v>
      </c>
      <c r="V397" s="461">
        <v>0</v>
      </c>
    </row>
    <row r="398" spans="1:22" s="455" customFormat="1" hidden="1">
      <c r="A398" s="455" t="str">
        <f t="shared" si="12"/>
        <v>11309151001700</v>
      </c>
      <c r="B398" s="455">
        <f>VLOOKUP(LEFT($C$3:$C$2600,3),Table!$D$2:$E$88,2,FALSE)</f>
        <v>0</v>
      </c>
      <c r="C398" s="455" t="str">
        <f t="shared" si="13"/>
        <v>9151001700</v>
      </c>
      <c r="D398" s="455" t="e">
        <f>VLOOKUP(G398,Table!$G$3:$H$21,2,FALSE)</f>
        <v>#N/A</v>
      </c>
      <c r="E398" s="452" t="s">
        <v>902</v>
      </c>
      <c r="F398" s="452" t="s">
        <v>1199</v>
      </c>
      <c r="G398" s="452" t="s">
        <v>1138</v>
      </c>
      <c r="H398" s="452" t="s">
        <v>1003</v>
      </c>
      <c r="I398" s="453" t="s">
        <v>844</v>
      </c>
      <c r="J398" s="453">
        <v>-3018.6</v>
      </c>
      <c r="K398" s="461">
        <v>0</v>
      </c>
      <c r="L398" s="461">
        <v>0</v>
      </c>
      <c r="M398" s="461">
        <v>-3018.6</v>
      </c>
      <c r="N398" s="461">
        <v>0</v>
      </c>
      <c r="O398" s="461">
        <v>0</v>
      </c>
      <c r="P398" s="461">
        <v>0</v>
      </c>
      <c r="Q398" s="461">
        <v>0</v>
      </c>
      <c r="R398" s="461">
        <v>0</v>
      </c>
      <c r="S398" s="461">
        <v>0</v>
      </c>
      <c r="T398" s="461">
        <v>0</v>
      </c>
      <c r="U398" s="461">
        <v>0</v>
      </c>
      <c r="V398" s="461">
        <v>0</v>
      </c>
    </row>
    <row r="399" spans="1:22" s="455" customFormat="1" hidden="1">
      <c r="A399" s="455" t="str">
        <f t="shared" si="12"/>
        <v>11309151001800</v>
      </c>
      <c r="B399" s="455">
        <f>VLOOKUP(LEFT($C$3:$C$2600,3),Table!$D$2:$E$88,2,FALSE)</f>
        <v>0</v>
      </c>
      <c r="C399" s="455" t="str">
        <f t="shared" si="13"/>
        <v>9151001800</v>
      </c>
      <c r="D399" s="455" t="e">
        <f>VLOOKUP(G399,Table!$G$3:$H$21,2,FALSE)</f>
        <v>#N/A</v>
      </c>
      <c r="E399" s="452" t="s">
        <v>902</v>
      </c>
      <c r="F399" s="452" t="s">
        <v>1199</v>
      </c>
      <c r="G399" s="452" t="s">
        <v>1139</v>
      </c>
      <c r="H399" s="452" t="s">
        <v>1005</v>
      </c>
      <c r="I399" s="453" t="s">
        <v>844</v>
      </c>
      <c r="J399" s="453">
        <v>134</v>
      </c>
      <c r="K399" s="461">
        <v>134</v>
      </c>
      <c r="L399" s="461">
        <v>0</v>
      </c>
      <c r="M399" s="461">
        <v>0</v>
      </c>
      <c r="N399" s="461">
        <v>0</v>
      </c>
      <c r="O399" s="461">
        <v>0</v>
      </c>
      <c r="P399" s="461">
        <v>0</v>
      </c>
      <c r="Q399" s="461">
        <v>0</v>
      </c>
      <c r="R399" s="461">
        <v>0</v>
      </c>
      <c r="S399" s="461">
        <v>0</v>
      </c>
      <c r="T399" s="461">
        <v>0</v>
      </c>
      <c r="U399" s="461">
        <v>0</v>
      </c>
      <c r="V399" s="461">
        <v>0</v>
      </c>
    </row>
    <row r="400" spans="1:22" s="455" customFormat="1" hidden="1">
      <c r="A400" s="455" t="str">
        <f t="shared" si="12"/>
        <v>11309151001900</v>
      </c>
      <c r="B400" s="455">
        <f>VLOOKUP(LEFT($C$3:$C$2600,3),Table!$D$2:$E$88,2,FALSE)</f>
        <v>0</v>
      </c>
      <c r="C400" s="455" t="str">
        <f t="shared" si="13"/>
        <v>9151001900</v>
      </c>
      <c r="D400" s="455" t="e">
        <f>VLOOKUP(G400,Table!$G$3:$H$21,2,FALSE)</f>
        <v>#N/A</v>
      </c>
      <c r="E400" s="452" t="s">
        <v>902</v>
      </c>
      <c r="F400" s="452" t="s">
        <v>1199</v>
      </c>
      <c r="G400" s="452" t="s">
        <v>1140</v>
      </c>
      <c r="H400" s="452" t="s">
        <v>1007</v>
      </c>
      <c r="I400" s="453" t="s">
        <v>844</v>
      </c>
      <c r="J400" s="453">
        <v>20.66</v>
      </c>
      <c r="K400" s="461">
        <v>20.66</v>
      </c>
      <c r="L400" s="461">
        <v>0</v>
      </c>
      <c r="M400" s="461">
        <v>0</v>
      </c>
      <c r="N400" s="461">
        <v>0</v>
      </c>
      <c r="O400" s="461">
        <v>0</v>
      </c>
      <c r="P400" s="461">
        <v>0</v>
      </c>
      <c r="Q400" s="461">
        <v>0</v>
      </c>
      <c r="R400" s="461">
        <v>0</v>
      </c>
      <c r="S400" s="461">
        <v>0</v>
      </c>
      <c r="T400" s="461">
        <v>0</v>
      </c>
      <c r="U400" s="461">
        <v>0</v>
      </c>
      <c r="V400" s="461">
        <v>0</v>
      </c>
    </row>
    <row r="401" spans="1:22" s="455" customFormat="1" hidden="1">
      <c r="A401" s="455" t="str">
        <f t="shared" si="12"/>
        <v>11309151601001</v>
      </c>
      <c r="B401" s="455">
        <f>VLOOKUP(LEFT($C$3:$C$2600,3),Table!$D$2:$E$88,2,FALSE)</f>
        <v>0</v>
      </c>
      <c r="C401" s="455" t="str">
        <f t="shared" si="13"/>
        <v>9151601001</v>
      </c>
      <c r="D401" s="455" t="e">
        <f>VLOOKUP(G401,Table!$G$3:$H$21,2,FALSE)</f>
        <v>#N/A</v>
      </c>
      <c r="E401" s="452" t="s">
        <v>902</v>
      </c>
      <c r="F401" s="452" t="s">
        <v>1199</v>
      </c>
      <c r="G401" s="452" t="s">
        <v>1015</v>
      </c>
      <c r="H401" s="452" t="s">
        <v>1016</v>
      </c>
      <c r="I401" s="453" t="s">
        <v>844</v>
      </c>
      <c r="J401" s="453">
        <v>1785</v>
      </c>
      <c r="K401" s="461">
        <v>697</v>
      </c>
      <c r="L401" s="461">
        <v>527</v>
      </c>
      <c r="M401" s="461">
        <v>561</v>
      </c>
      <c r="N401" s="461">
        <v>0</v>
      </c>
      <c r="O401" s="461">
        <v>0</v>
      </c>
      <c r="P401" s="461">
        <v>0</v>
      </c>
      <c r="Q401" s="461">
        <v>0</v>
      </c>
      <c r="R401" s="461">
        <v>0</v>
      </c>
      <c r="S401" s="461">
        <v>0</v>
      </c>
      <c r="T401" s="461">
        <v>0</v>
      </c>
      <c r="U401" s="461">
        <v>0</v>
      </c>
      <c r="V401" s="461">
        <v>0</v>
      </c>
    </row>
    <row r="402" spans="1:22" s="455" customFormat="1" hidden="1">
      <c r="A402" s="455" t="str">
        <f t="shared" si="12"/>
        <v>11309151801100</v>
      </c>
      <c r="B402" s="455">
        <f>VLOOKUP(LEFT($C$3:$C$2600,3),Table!$D$2:$E$88,2,FALSE)</f>
        <v>0</v>
      </c>
      <c r="C402" s="455" t="str">
        <f t="shared" si="13"/>
        <v>9151801100</v>
      </c>
      <c r="D402" s="455" t="e">
        <f>VLOOKUP(G402,Table!$G$3:$H$21,2,FALSE)</f>
        <v>#N/A</v>
      </c>
      <c r="E402" s="452" t="s">
        <v>902</v>
      </c>
      <c r="F402" s="452" t="s">
        <v>1199</v>
      </c>
      <c r="G402" s="452" t="s">
        <v>1017</v>
      </c>
      <c r="H402" s="452" t="s">
        <v>1018</v>
      </c>
      <c r="I402" s="453" t="s">
        <v>844</v>
      </c>
      <c r="J402" s="453">
        <v>238</v>
      </c>
      <c r="K402" s="461">
        <v>0</v>
      </c>
      <c r="L402" s="461">
        <v>142</v>
      </c>
      <c r="M402" s="461">
        <v>96</v>
      </c>
      <c r="N402" s="461">
        <v>0</v>
      </c>
      <c r="O402" s="461">
        <v>0</v>
      </c>
      <c r="P402" s="461">
        <v>0</v>
      </c>
      <c r="Q402" s="461">
        <v>0</v>
      </c>
      <c r="R402" s="461">
        <v>0</v>
      </c>
      <c r="S402" s="461">
        <v>0</v>
      </c>
      <c r="T402" s="461">
        <v>0</v>
      </c>
      <c r="U402" s="461">
        <v>0</v>
      </c>
      <c r="V402" s="461">
        <v>0</v>
      </c>
    </row>
    <row r="403" spans="1:22" s="455" customFormat="1" hidden="1">
      <c r="A403" s="455" t="str">
        <f t="shared" si="12"/>
        <v>11309152010211</v>
      </c>
      <c r="B403" s="455">
        <f>VLOOKUP(LEFT($C$3:$C$2600,3),Table!$D$2:$E$88,2,FALSE)</f>
        <v>0</v>
      </c>
      <c r="C403" s="455" t="str">
        <f t="shared" si="13"/>
        <v>9152010211</v>
      </c>
      <c r="D403" s="455" t="e">
        <f>VLOOKUP(G403,Table!$G$3:$H$21,2,FALSE)</f>
        <v>#N/A</v>
      </c>
      <c r="E403" s="452" t="s">
        <v>902</v>
      </c>
      <c r="F403" s="452" t="s">
        <v>1199</v>
      </c>
      <c r="G403" s="452" t="s">
        <v>1021</v>
      </c>
      <c r="H403" s="452" t="s">
        <v>1022</v>
      </c>
      <c r="I403" s="453" t="s">
        <v>844</v>
      </c>
      <c r="J403" s="453">
        <v>11467.02</v>
      </c>
      <c r="K403" s="461">
        <v>3529.24</v>
      </c>
      <c r="L403" s="461">
        <v>4408.54</v>
      </c>
      <c r="M403" s="461">
        <v>3529.24</v>
      </c>
      <c r="N403" s="461">
        <v>0</v>
      </c>
      <c r="O403" s="461">
        <v>0</v>
      </c>
      <c r="P403" s="461">
        <v>0</v>
      </c>
      <c r="Q403" s="461">
        <v>0</v>
      </c>
      <c r="R403" s="461">
        <v>0</v>
      </c>
      <c r="S403" s="461">
        <v>0</v>
      </c>
      <c r="T403" s="461">
        <v>0</v>
      </c>
      <c r="U403" s="461">
        <v>0</v>
      </c>
      <c r="V403" s="461">
        <v>0</v>
      </c>
    </row>
    <row r="404" spans="1:22" s="455" customFormat="1" hidden="1">
      <c r="A404" s="455" t="str">
        <f t="shared" si="12"/>
        <v>11309152010311</v>
      </c>
      <c r="B404" s="455">
        <f>VLOOKUP(LEFT($C$3:$C$2600,3),Table!$D$2:$E$88,2,FALSE)</f>
        <v>0</v>
      </c>
      <c r="C404" s="455" t="str">
        <f t="shared" si="13"/>
        <v>9152010311</v>
      </c>
      <c r="D404" s="455" t="e">
        <f>VLOOKUP(G404,Table!$G$3:$H$21,2,FALSE)</f>
        <v>#N/A</v>
      </c>
      <c r="E404" s="452" t="s">
        <v>902</v>
      </c>
      <c r="F404" s="452" t="s">
        <v>1199</v>
      </c>
      <c r="G404" s="452" t="s">
        <v>1172</v>
      </c>
      <c r="H404" s="452" t="s">
        <v>1173</v>
      </c>
      <c r="I404" s="453" t="s">
        <v>844</v>
      </c>
      <c r="J404" s="453">
        <v>3325</v>
      </c>
      <c r="K404" s="461">
        <v>0</v>
      </c>
      <c r="L404" s="461">
        <v>0</v>
      </c>
      <c r="M404" s="461">
        <v>3325</v>
      </c>
      <c r="N404" s="461">
        <v>0</v>
      </c>
      <c r="O404" s="461">
        <v>0</v>
      </c>
      <c r="P404" s="461">
        <v>0</v>
      </c>
      <c r="Q404" s="461">
        <v>0</v>
      </c>
      <c r="R404" s="461">
        <v>0</v>
      </c>
      <c r="S404" s="461">
        <v>0</v>
      </c>
      <c r="T404" s="461">
        <v>0</v>
      </c>
      <c r="U404" s="461">
        <v>0</v>
      </c>
      <c r="V404" s="461">
        <v>0</v>
      </c>
    </row>
    <row r="405" spans="1:22" s="455" customFormat="1" hidden="1">
      <c r="A405" s="455" t="str">
        <f t="shared" si="12"/>
        <v>11309152010313</v>
      </c>
      <c r="B405" s="455">
        <f>VLOOKUP(LEFT($C$3:$C$2600,3),Table!$D$2:$E$88,2,FALSE)</f>
        <v>0</v>
      </c>
      <c r="C405" s="455" t="str">
        <f t="shared" si="13"/>
        <v>9152010313</v>
      </c>
      <c r="D405" s="455" t="e">
        <f>VLOOKUP(G405,Table!$G$3:$H$21,2,FALSE)</f>
        <v>#N/A</v>
      </c>
      <c r="E405" s="452" t="s">
        <v>902</v>
      </c>
      <c r="F405" s="452" t="s">
        <v>1199</v>
      </c>
      <c r="G405" s="452" t="s">
        <v>2541</v>
      </c>
      <c r="H405" s="452" t="s">
        <v>2542</v>
      </c>
      <c r="I405" s="453" t="s">
        <v>844</v>
      </c>
      <c r="J405" s="453">
        <v>879.3</v>
      </c>
      <c r="K405" s="461">
        <v>0</v>
      </c>
      <c r="L405" s="461">
        <v>879.3</v>
      </c>
      <c r="M405" s="461">
        <v>0</v>
      </c>
      <c r="N405" s="461">
        <v>0</v>
      </c>
      <c r="O405" s="461">
        <v>0</v>
      </c>
      <c r="P405" s="461">
        <v>0</v>
      </c>
      <c r="Q405" s="461">
        <v>0</v>
      </c>
      <c r="R405" s="461">
        <v>0</v>
      </c>
      <c r="S405" s="461">
        <v>0</v>
      </c>
      <c r="T405" s="461">
        <v>0</v>
      </c>
      <c r="U405" s="461">
        <v>0</v>
      </c>
      <c r="V405" s="461">
        <v>0</v>
      </c>
    </row>
    <row r="406" spans="1:22" s="455" customFormat="1" hidden="1">
      <c r="A406" s="455" t="str">
        <f t="shared" si="12"/>
        <v>11309152014111</v>
      </c>
      <c r="B406" s="455">
        <f>VLOOKUP(LEFT($C$3:$C$2600,3),Table!$D$2:$E$88,2,FALSE)</f>
        <v>0</v>
      </c>
      <c r="C406" s="455" t="str">
        <f t="shared" si="13"/>
        <v>9152014111</v>
      </c>
      <c r="D406" s="455" t="e">
        <f>VLOOKUP(G406,Table!$G$3:$H$21,2,FALSE)</f>
        <v>#N/A</v>
      </c>
      <c r="E406" s="452" t="s">
        <v>902</v>
      </c>
      <c r="F406" s="452" t="s">
        <v>1199</v>
      </c>
      <c r="G406" s="452" t="s">
        <v>1095</v>
      </c>
      <c r="H406" s="452" t="s">
        <v>1096</v>
      </c>
      <c r="I406" s="453" t="s">
        <v>844</v>
      </c>
      <c r="J406" s="453">
        <v>2489.8000000000002</v>
      </c>
      <c r="K406" s="461">
        <v>1690</v>
      </c>
      <c r="L406" s="461">
        <v>390</v>
      </c>
      <c r="M406" s="461">
        <v>409.8</v>
      </c>
      <c r="N406" s="461">
        <v>0</v>
      </c>
      <c r="O406" s="461">
        <v>0</v>
      </c>
      <c r="P406" s="461">
        <v>0</v>
      </c>
      <c r="Q406" s="461">
        <v>0</v>
      </c>
      <c r="R406" s="461">
        <v>0</v>
      </c>
      <c r="S406" s="461">
        <v>0</v>
      </c>
      <c r="T406" s="461">
        <v>0</v>
      </c>
      <c r="U406" s="461">
        <v>0</v>
      </c>
      <c r="V406" s="461">
        <v>0</v>
      </c>
    </row>
    <row r="407" spans="1:22" s="455" customFormat="1" hidden="1">
      <c r="A407" s="455" t="str">
        <f t="shared" si="12"/>
        <v>11309152014311</v>
      </c>
      <c r="B407" s="455">
        <f>VLOOKUP(LEFT($C$3:$C$2600,3),Table!$D$2:$E$88,2,FALSE)</f>
        <v>0</v>
      </c>
      <c r="C407" s="455" t="str">
        <f t="shared" si="13"/>
        <v>9152014311</v>
      </c>
      <c r="D407" s="455" t="e">
        <f>VLOOKUP(G407,Table!$G$3:$H$21,2,FALSE)</f>
        <v>#N/A</v>
      </c>
      <c r="E407" s="452" t="s">
        <v>902</v>
      </c>
      <c r="F407" s="452" t="s">
        <v>1199</v>
      </c>
      <c r="G407" s="452" t="s">
        <v>1174</v>
      </c>
      <c r="H407" s="452" t="s">
        <v>1175</v>
      </c>
      <c r="I407" s="453" t="s">
        <v>844</v>
      </c>
      <c r="J407" s="453">
        <v>1456.84</v>
      </c>
      <c r="K407" s="461">
        <v>668.44</v>
      </c>
      <c r="L407" s="461">
        <v>788.4</v>
      </c>
      <c r="M407" s="461">
        <v>0</v>
      </c>
      <c r="N407" s="461">
        <v>0</v>
      </c>
      <c r="O407" s="461">
        <v>0</v>
      </c>
      <c r="P407" s="461">
        <v>0</v>
      </c>
      <c r="Q407" s="461">
        <v>0</v>
      </c>
      <c r="R407" s="461">
        <v>0</v>
      </c>
      <c r="S407" s="461">
        <v>0</v>
      </c>
      <c r="T407" s="461">
        <v>0</v>
      </c>
      <c r="U407" s="461">
        <v>0</v>
      </c>
      <c r="V407" s="461">
        <v>0</v>
      </c>
    </row>
    <row r="408" spans="1:22" s="455" customFormat="1" hidden="1">
      <c r="A408" s="455" t="str">
        <f t="shared" si="12"/>
        <v>11309152020111</v>
      </c>
      <c r="B408" s="455">
        <f>VLOOKUP(LEFT($C$3:$C$2600,3),Table!$D$2:$E$88,2,FALSE)</f>
        <v>0</v>
      </c>
      <c r="C408" s="455" t="str">
        <f t="shared" si="13"/>
        <v>9152020111</v>
      </c>
      <c r="D408" s="455" t="e">
        <f>VLOOKUP(G408,Table!$G$3:$H$21,2,FALSE)</f>
        <v>#N/A</v>
      </c>
      <c r="E408" s="452" t="s">
        <v>902</v>
      </c>
      <c r="F408" s="452" t="s">
        <v>1199</v>
      </c>
      <c r="G408" s="452" t="s">
        <v>1176</v>
      </c>
      <c r="H408" s="452" t="s">
        <v>1177</v>
      </c>
      <c r="I408" s="453" t="s">
        <v>844</v>
      </c>
      <c r="J408" s="453">
        <v>290</v>
      </c>
      <c r="K408" s="461">
        <v>0</v>
      </c>
      <c r="L408" s="461">
        <v>290</v>
      </c>
      <c r="M408" s="461">
        <v>0</v>
      </c>
      <c r="N408" s="461">
        <v>0</v>
      </c>
      <c r="O408" s="461">
        <v>0</v>
      </c>
      <c r="P408" s="461">
        <v>0</v>
      </c>
      <c r="Q408" s="461">
        <v>0</v>
      </c>
      <c r="R408" s="461">
        <v>0</v>
      </c>
      <c r="S408" s="461">
        <v>0</v>
      </c>
      <c r="T408" s="461">
        <v>0</v>
      </c>
      <c r="U408" s="461">
        <v>0</v>
      </c>
      <c r="V408" s="461">
        <v>0</v>
      </c>
    </row>
    <row r="409" spans="1:22" s="455" customFormat="1" hidden="1">
      <c r="A409" s="455" t="str">
        <f t="shared" si="12"/>
        <v>11309152020171</v>
      </c>
      <c r="B409" s="455">
        <f>VLOOKUP(LEFT($C$3:$C$2600,3),Table!$D$2:$E$88,2,FALSE)</f>
        <v>0</v>
      </c>
      <c r="C409" s="455" t="str">
        <f t="shared" si="13"/>
        <v>9152020171</v>
      </c>
      <c r="D409" s="455" t="e">
        <f>VLOOKUP(G409,Table!$G$3:$H$21,2,FALSE)</f>
        <v>#N/A</v>
      </c>
      <c r="E409" s="452" t="s">
        <v>902</v>
      </c>
      <c r="F409" s="452" t="s">
        <v>1199</v>
      </c>
      <c r="G409" s="452" t="s">
        <v>1178</v>
      </c>
      <c r="H409" s="452" t="s">
        <v>1179</v>
      </c>
      <c r="I409" s="453" t="s">
        <v>844</v>
      </c>
      <c r="J409" s="453">
        <v>2086</v>
      </c>
      <c r="K409" s="461">
        <v>0</v>
      </c>
      <c r="L409" s="461">
        <v>2086</v>
      </c>
      <c r="M409" s="461">
        <v>0</v>
      </c>
      <c r="N409" s="461">
        <v>0</v>
      </c>
      <c r="O409" s="461">
        <v>0</v>
      </c>
      <c r="P409" s="461">
        <v>0</v>
      </c>
      <c r="Q409" s="461">
        <v>0</v>
      </c>
      <c r="R409" s="461">
        <v>0</v>
      </c>
      <c r="S409" s="461">
        <v>0</v>
      </c>
      <c r="T409" s="461">
        <v>0</v>
      </c>
      <c r="U409" s="461">
        <v>0</v>
      </c>
      <c r="V409" s="461">
        <v>0</v>
      </c>
    </row>
    <row r="410" spans="1:22" s="455" customFormat="1" hidden="1">
      <c r="A410" s="455" t="str">
        <f t="shared" si="12"/>
        <v>11309152023111</v>
      </c>
      <c r="B410" s="455">
        <f>VLOOKUP(LEFT($C$3:$C$2600,3),Table!$D$2:$E$88,2,FALSE)</f>
        <v>0</v>
      </c>
      <c r="C410" s="455" t="str">
        <f t="shared" si="13"/>
        <v>9152023111</v>
      </c>
      <c r="D410" s="455" t="e">
        <f>VLOOKUP(G410,Table!$G$3:$H$21,2,FALSE)</f>
        <v>#N/A</v>
      </c>
      <c r="E410" s="452" t="s">
        <v>902</v>
      </c>
      <c r="F410" s="452" t="s">
        <v>1199</v>
      </c>
      <c r="G410" s="452" t="s">
        <v>1182</v>
      </c>
      <c r="H410" s="452" t="s">
        <v>1183</v>
      </c>
      <c r="I410" s="453" t="s">
        <v>844</v>
      </c>
      <c r="J410" s="453">
        <v>23</v>
      </c>
      <c r="K410" s="461">
        <v>0</v>
      </c>
      <c r="L410" s="461">
        <v>23</v>
      </c>
      <c r="M410" s="461">
        <v>0</v>
      </c>
      <c r="N410" s="461">
        <v>0</v>
      </c>
      <c r="O410" s="461">
        <v>0</v>
      </c>
      <c r="P410" s="461">
        <v>0</v>
      </c>
      <c r="Q410" s="461">
        <v>0</v>
      </c>
      <c r="R410" s="461">
        <v>0</v>
      </c>
      <c r="S410" s="461">
        <v>0</v>
      </c>
      <c r="T410" s="461">
        <v>0</v>
      </c>
      <c r="U410" s="461">
        <v>0</v>
      </c>
      <c r="V410" s="461">
        <v>0</v>
      </c>
    </row>
    <row r="411" spans="1:22" s="455" customFormat="1" hidden="1">
      <c r="A411" s="455" t="str">
        <f t="shared" si="12"/>
        <v>11309152050011</v>
      </c>
      <c r="B411" s="455">
        <f>VLOOKUP(LEFT($C$3:$C$2600,3),Table!$D$2:$E$88,2,FALSE)</f>
        <v>0</v>
      </c>
      <c r="C411" s="455" t="str">
        <f t="shared" si="13"/>
        <v>9152050011</v>
      </c>
      <c r="D411" s="455" t="e">
        <f>VLOOKUP(G411,Table!$G$3:$H$21,2,FALSE)</f>
        <v>#N/A</v>
      </c>
      <c r="E411" s="452" t="s">
        <v>902</v>
      </c>
      <c r="F411" s="452" t="s">
        <v>1199</v>
      </c>
      <c r="G411" s="452" t="s">
        <v>1031</v>
      </c>
      <c r="H411" s="452" t="s">
        <v>1032</v>
      </c>
      <c r="I411" s="453" t="s">
        <v>844</v>
      </c>
      <c r="J411" s="453">
        <v>2227.1999999999998</v>
      </c>
      <c r="K411" s="461">
        <v>0</v>
      </c>
      <c r="L411" s="461">
        <v>2227.1999999999998</v>
      </c>
      <c r="M411" s="461">
        <v>0</v>
      </c>
      <c r="N411" s="461">
        <v>0</v>
      </c>
      <c r="O411" s="461">
        <v>0</v>
      </c>
      <c r="P411" s="461">
        <v>0</v>
      </c>
      <c r="Q411" s="461">
        <v>0</v>
      </c>
      <c r="R411" s="461">
        <v>0</v>
      </c>
      <c r="S411" s="461">
        <v>0</v>
      </c>
      <c r="T411" s="461">
        <v>0</v>
      </c>
      <c r="U411" s="461">
        <v>0</v>
      </c>
      <c r="V411" s="461">
        <v>0</v>
      </c>
    </row>
    <row r="412" spans="1:22" s="455" customFormat="1" hidden="1">
      <c r="A412" s="455" t="str">
        <f t="shared" si="12"/>
        <v>11309152062011</v>
      </c>
      <c r="B412" s="455">
        <f>VLOOKUP(LEFT($C$3:$C$2600,3),Table!$D$2:$E$88,2,FALSE)</f>
        <v>0</v>
      </c>
      <c r="C412" s="455" t="str">
        <f t="shared" si="13"/>
        <v>9152062011</v>
      </c>
      <c r="D412" s="455" t="e">
        <f>VLOOKUP(G412,Table!$G$3:$H$21,2,FALSE)</f>
        <v>#N/A</v>
      </c>
      <c r="E412" s="452" t="s">
        <v>902</v>
      </c>
      <c r="F412" s="452" t="s">
        <v>1199</v>
      </c>
      <c r="G412" s="452" t="s">
        <v>1184</v>
      </c>
      <c r="H412" s="452" t="s">
        <v>1185</v>
      </c>
      <c r="I412" s="453" t="s">
        <v>844</v>
      </c>
      <c r="J412" s="453">
        <v>727.63</v>
      </c>
      <c r="K412" s="461">
        <v>727.63</v>
      </c>
      <c r="L412" s="461">
        <v>0</v>
      </c>
      <c r="M412" s="461">
        <v>0</v>
      </c>
      <c r="N412" s="461">
        <v>0</v>
      </c>
      <c r="O412" s="461">
        <v>0</v>
      </c>
      <c r="P412" s="461">
        <v>0</v>
      </c>
      <c r="Q412" s="461">
        <v>0</v>
      </c>
      <c r="R412" s="461">
        <v>0</v>
      </c>
      <c r="S412" s="461">
        <v>0</v>
      </c>
      <c r="T412" s="461">
        <v>0</v>
      </c>
      <c r="U412" s="461">
        <v>0</v>
      </c>
      <c r="V412" s="461">
        <v>0</v>
      </c>
    </row>
    <row r="413" spans="1:22" s="455" customFormat="1" hidden="1">
      <c r="A413" s="455" t="str">
        <f t="shared" si="12"/>
        <v>11309152062021</v>
      </c>
      <c r="B413" s="455">
        <f>VLOOKUP(LEFT($C$3:$C$2600,3),Table!$D$2:$E$88,2,FALSE)</f>
        <v>0</v>
      </c>
      <c r="C413" s="455" t="str">
        <f t="shared" si="13"/>
        <v>9152062021</v>
      </c>
      <c r="D413" s="455" t="e">
        <f>VLOOKUP(G413,Table!$G$3:$H$21,2,FALSE)</f>
        <v>#N/A</v>
      </c>
      <c r="E413" s="452" t="s">
        <v>902</v>
      </c>
      <c r="F413" s="452" t="s">
        <v>1199</v>
      </c>
      <c r="G413" s="452" t="s">
        <v>1186</v>
      </c>
      <c r="H413" s="452" t="s">
        <v>1187</v>
      </c>
      <c r="I413" s="453" t="s">
        <v>844</v>
      </c>
      <c r="J413" s="453">
        <v>3980.31</v>
      </c>
      <c r="K413" s="461">
        <v>0</v>
      </c>
      <c r="L413" s="461">
        <v>3565.56</v>
      </c>
      <c r="M413" s="461">
        <v>414.75</v>
      </c>
      <c r="N413" s="461">
        <v>0</v>
      </c>
      <c r="O413" s="461">
        <v>0</v>
      </c>
      <c r="P413" s="461">
        <v>0</v>
      </c>
      <c r="Q413" s="461">
        <v>0</v>
      </c>
      <c r="R413" s="461">
        <v>0</v>
      </c>
      <c r="S413" s="461">
        <v>0</v>
      </c>
      <c r="T413" s="461">
        <v>0</v>
      </c>
      <c r="U413" s="461">
        <v>0</v>
      </c>
      <c r="V413" s="461">
        <v>0</v>
      </c>
    </row>
    <row r="414" spans="1:22" s="455" customFormat="1" hidden="1">
      <c r="A414" s="455" t="str">
        <f t="shared" si="12"/>
        <v>11309152090000</v>
      </c>
      <c r="B414" s="455">
        <f>VLOOKUP(LEFT($C$3:$C$2600,3),Table!$D$2:$E$88,2,FALSE)</f>
        <v>0</v>
      </c>
      <c r="C414" s="455" t="str">
        <f t="shared" si="13"/>
        <v>9152090000</v>
      </c>
      <c r="D414" s="455" t="e">
        <f>VLOOKUP(G414,Table!$G$3:$H$21,2,FALSE)</f>
        <v>#N/A</v>
      </c>
      <c r="E414" s="452" t="s">
        <v>902</v>
      </c>
      <c r="F414" s="452" t="s">
        <v>1199</v>
      </c>
      <c r="G414" s="452" t="s">
        <v>1033</v>
      </c>
      <c r="H414" s="452" t="s">
        <v>1034</v>
      </c>
      <c r="I414" s="453" t="s">
        <v>844</v>
      </c>
      <c r="J414" s="453">
        <v>980</v>
      </c>
      <c r="K414" s="461">
        <v>0</v>
      </c>
      <c r="L414" s="461">
        <v>980</v>
      </c>
      <c r="M414" s="461">
        <v>0</v>
      </c>
      <c r="N414" s="461">
        <v>0</v>
      </c>
      <c r="O414" s="461">
        <v>0</v>
      </c>
      <c r="P414" s="461">
        <v>0</v>
      </c>
      <c r="Q414" s="461">
        <v>0</v>
      </c>
      <c r="R414" s="461">
        <v>0</v>
      </c>
      <c r="S414" s="461">
        <v>0</v>
      </c>
      <c r="T414" s="461">
        <v>0</v>
      </c>
      <c r="U414" s="461">
        <v>0</v>
      </c>
      <c r="V414" s="461">
        <v>0</v>
      </c>
    </row>
    <row r="415" spans="1:22" s="455" customFormat="1" hidden="1">
      <c r="A415" s="455" t="str">
        <f t="shared" si="12"/>
        <v>11309152402511</v>
      </c>
      <c r="B415" s="455">
        <f>VLOOKUP(LEFT($C$3:$C$2600,3),Table!$D$2:$E$88,2,FALSE)</f>
        <v>0</v>
      </c>
      <c r="C415" s="455" t="str">
        <f t="shared" si="13"/>
        <v>9152402511</v>
      </c>
      <c r="D415" s="455" t="e">
        <f>VLOOKUP(G415,Table!$G$3:$H$21,2,FALSE)</f>
        <v>#N/A</v>
      </c>
      <c r="E415" s="452" t="s">
        <v>902</v>
      </c>
      <c r="F415" s="452" t="s">
        <v>1199</v>
      </c>
      <c r="G415" s="452" t="s">
        <v>1201</v>
      </c>
      <c r="H415" s="452" t="s">
        <v>1202</v>
      </c>
      <c r="I415" s="453" t="s">
        <v>844</v>
      </c>
      <c r="J415" s="453">
        <v>4600</v>
      </c>
      <c r="K415" s="461">
        <v>2300</v>
      </c>
      <c r="L415" s="461">
        <v>2300</v>
      </c>
      <c r="M415" s="461">
        <v>0</v>
      </c>
      <c r="N415" s="461">
        <v>0</v>
      </c>
      <c r="O415" s="461">
        <v>0</v>
      </c>
      <c r="P415" s="461">
        <v>0</v>
      </c>
      <c r="Q415" s="461">
        <v>0</v>
      </c>
      <c r="R415" s="461">
        <v>0</v>
      </c>
      <c r="S415" s="461">
        <v>0</v>
      </c>
      <c r="T415" s="461">
        <v>0</v>
      </c>
      <c r="U415" s="461">
        <v>0</v>
      </c>
      <c r="V415" s="461">
        <v>0</v>
      </c>
    </row>
    <row r="416" spans="1:22" s="455" customFormat="1" hidden="1">
      <c r="A416" s="455" t="str">
        <f t="shared" si="12"/>
        <v>11309153001000</v>
      </c>
      <c r="B416" s="455">
        <f>VLOOKUP(LEFT($C$3:$C$2600,3),Table!$D$2:$E$88,2,FALSE)</f>
        <v>0</v>
      </c>
      <c r="C416" s="455" t="str">
        <f t="shared" si="13"/>
        <v>9153001000</v>
      </c>
      <c r="D416" s="455" t="e">
        <f>VLOOKUP(G416,Table!$G$3:$H$21,2,FALSE)</f>
        <v>#N/A</v>
      </c>
      <c r="E416" s="452" t="s">
        <v>902</v>
      </c>
      <c r="F416" s="452" t="s">
        <v>1199</v>
      </c>
      <c r="G416" s="452" t="s">
        <v>1043</v>
      </c>
      <c r="H416" s="452" t="s">
        <v>1044</v>
      </c>
      <c r="I416" s="453" t="s">
        <v>844</v>
      </c>
      <c r="J416" s="453">
        <v>179071</v>
      </c>
      <c r="K416" s="461">
        <v>58517</v>
      </c>
      <c r="L416" s="461">
        <v>58517</v>
      </c>
      <c r="M416" s="461">
        <v>62037</v>
      </c>
      <c r="N416" s="461">
        <v>0</v>
      </c>
      <c r="O416" s="461">
        <v>0</v>
      </c>
      <c r="P416" s="461">
        <v>0</v>
      </c>
      <c r="Q416" s="461">
        <v>0</v>
      </c>
      <c r="R416" s="461">
        <v>0</v>
      </c>
      <c r="S416" s="461">
        <v>0</v>
      </c>
      <c r="T416" s="461">
        <v>0</v>
      </c>
      <c r="U416" s="461">
        <v>0</v>
      </c>
      <c r="V416" s="461">
        <v>0</v>
      </c>
    </row>
    <row r="417" spans="1:22" s="455" customFormat="1" hidden="1">
      <c r="A417" s="455" t="str">
        <f t="shared" si="12"/>
        <v>11359101001000</v>
      </c>
      <c r="B417" s="455">
        <f>VLOOKUP(LEFT($C$3:$C$2600,3),Table!$D$2:$E$88,2,FALSE)</f>
        <v>0</v>
      </c>
      <c r="C417" s="455" t="str">
        <f t="shared" si="13"/>
        <v>9101001000</v>
      </c>
      <c r="D417" s="455" t="e">
        <f>VLOOKUP(G417,Table!$G$3:$H$21,2,FALSE)</f>
        <v>#N/A</v>
      </c>
      <c r="E417" s="452" t="s">
        <v>902</v>
      </c>
      <c r="F417" s="452" t="s">
        <v>1205</v>
      </c>
      <c r="G417" s="452" t="s">
        <v>1046</v>
      </c>
      <c r="H417" s="452" t="s">
        <v>1047</v>
      </c>
      <c r="I417" s="453" t="s">
        <v>844</v>
      </c>
      <c r="J417" s="453">
        <v>22686.9</v>
      </c>
      <c r="K417" s="461">
        <v>7562.3</v>
      </c>
      <c r="L417" s="461">
        <v>7562.3</v>
      </c>
      <c r="M417" s="461">
        <v>7562.3</v>
      </c>
      <c r="N417" s="461">
        <v>0</v>
      </c>
      <c r="O417" s="461">
        <v>0</v>
      </c>
      <c r="P417" s="461">
        <v>0</v>
      </c>
      <c r="Q417" s="461">
        <v>0</v>
      </c>
      <c r="R417" s="461">
        <v>0</v>
      </c>
      <c r="S417" s="461">
        <v>0</v>
      </c>
      <c r="T417" s="461">
        <v>0</v>
      </c>
      <c r="U417" s="461">
        <v>0</v>
      </c>
      <c r="V417" s="461">
        <v>0</v>
      </c>
    </row>
    <row r="418" spans="1:22" s="455" customFormat="1" hidden="1">
      <c r="A418" s="455" t="str">
        <f t="shared" si="12"/>
        <v>11359101001100</v>
      </c>
      <c r="B418" s="455">
        <f>VLOOKUP(LEFT($C$3:$C$2600,3),Table!$D$2:$E$88,2,FALSE)</f>
        <v>0</v>
      </c>
      <c r="C418" s="455" t="str">
        <f t="shared" si="13"/>
        <v>9101001100</v>
      </c>
      <c r="D418" s="455" t="e">
        <f>VLOOKUP(G418,Table!$G$3:$H$21,2,FALSE)</f>
        <v>#N/A</v>
      </c>
      <c r="E418" s="452" t="s">
        <v>902</v>
      </c>
      <c r="F418" s="452" t="s">
        <v>1205</v>
      </c>
      <c r="G418" s="452" t="s">
        <v>1048</v>
      </c>
      <c r="H418" s="452" t="s">
        <v>1049</v>
      </c>
      <c r="I418" s="453" t="s">
        <v>844</v>
      </c>
      <c r="J418" s="453">
        <v>13546.99</v>
      </c>
      <c r="K418" s="461">
        <v>4752.04</v>
      </c>
      <c r="L418" s="461">
        <v>5222.32</v>
      </c>
      <c r="M418" s="461">
        <v>4325.26</v>
      </c>
      <c r="N418" s="461">
        <v>0</v>
      </c>
      <c r="O418" s="461">
        <v>0</v>
      </c>
      <c r="P418" s="461">
        <v>0</v>
      </c>
      <c r="Q418" s="461">
        <v>0</v>
      </c>
      <c r="R418" s="461">
        <v>0</v>
      </c>
      <c r="S418" s="461">
        <v>0</v>
      </c>
      <c r="T418" s="461">
        <v>0</v>
      </c>
      <c r="U418" s="461">
        <v>0</v>
      </c>
      <c r="V418" s="461">
        <v>0</v>
      </c>
    </row>
    <row r="419" spans="1:22" s="455" customFormat="1" hidden="1">
      <c r="A419" s="455" t="str">
        <f t="shared" si="12"/>
        <v>11359101001200</v>
      </c>
      <c r="B419" s="455">
        <f>VLOOKUP(LEFT($C$3:$C$2600,3),Table!$D$2:$E$88,2,FALSE)</f>
        <v>0</v>
      </c>
      <c r="C419" s="455" t="str">
        <f t="shared" si="13"/>
        <v>9101001200</v>
      </c>
      <c r="D419" s="455" t="e">
        <f>VLOOKUP(G419,Table!$G$3:$H$21,2,FALSE)</f>
        <v>#N/A</v>
      </c>
      <c r="E419" s="452" t="s">
        <v>902</v>
      </c>
      <c r="F419" s="452" t="s">
        <v>1205</v>
      </c>
      <c r="G419" s="452" t="s">
        <v>1050</v>
      </c>
      <c r="H419" s="452" t="s">
        <v>1051</v>
      </c>
      <c r="I419" s="453" t="s">
        <v>844</v>
      </c>
      <c r="J419" s="453">
        <v>2171.34</v>
      </c>
      <c r="K419" s="461">
        <v>746.04</v>
      </c>
      <c r="L419" s="461">
        <v>671.03</v>
      </c>
      <c r="M419" s="461">
        <v>754.27</v>
      </c>
      <c r="N419" s="461">
        <v>0</v>
      </c>
      <c r="O419" s="461">
        <v>0</v>
      </c>
      <c r="P419" s="461">
        <v>0</v>
      </c>
      <c r="Q419" s="461">
        <v>0</v>
      </c>
      <c r="R419" s="461">
        <v>0</v>
      </c>
      <c r="S419" s="461">
        <v>0</v>
      </c>
      <c r="T419" s="461">
        <v>0</v>
      </c>
      <c r="U419" s="461">
        <v>0</v>
      </c>
      <c r="V419" s="461">
        <v>0</v>
      </c>
    </row>
    <row r="420" spans="1:22" s="455" customFormat="1" hidden="1">
      <c r="A420" s="455" t="str">
        <f t="shared" si="12"/>
        <v>11359101001400</v>
      </c>
      <c r="B420" s="455">
        <f>VLOOKUP(LEFT($C$3:$C$2600,3),Table!$D$2:$E$88,2,FALSE)</f>
        <v>0</v>
      </c>
      <c r="C420" s="455" t="str">
        <f t="shared" si="13"/>
        <v>9101001400</v>
      </c>
      <c r="D420" s="455" t="e">
        <f>VLOOKUP(G420,Table!$G$3:$H$21,2,FALSE)</f>
        <v>#N/A</v>
      </c>
      <c r="E420" s="452" t="s">
        <v>902</v>
      </c>
      <c r="F420" s="452" t="s">
        <v>1205</v>
      </c>
      <c r="G420" s="452" t="s">
        <v>1054</v>
      </c>
      <c r="H420" s="452" t="s">
        <v>1055</v>
      </c>
      <c r="I420" s="453" t="s">
        <v>844</v>
      </c>
      <c r="J420" s="453">
        <v>3787</v>
      </c>
      <c r="K420" s="461">
        <v>1265</v>
      </c>
      <c r="L420" s="461">
        <v>1259</v>
      </c>
      <c r="M420" s="461">
        <v>1263</v>
      </c>
      <c r="N420" s="461">
        <v>0</v>
      </c>
      <c r="O420" s="461">
        <v>0</v>
      </c>
      <c r="P420" s="461">
        <v>0</v>
      </c>
      <c r="Q420" s="461">
        <v>0</v>
      </c>
      <c r="R420" s="461">
        <v>0</v>
      </c>
      <c r="S420" s="461">
        <v>0</v>
      </c>
      <c r="T420" s="461">
        <v>0</v>
      </c>
      <c r="U420" s="461">
        <v>0</v>
      </c>
      <c r="V420" s="461">
        <v>0</v>
      </c>
    </row>
    <row r="421" spans="1:22" s="455" customFormat="1" hidden="1">
      <c r="A421" s="455" t="str">
        <f t="shared" si="12"/>
        <v>11359101001410</v>
      </c>
      <c r="B421" s="455">
        <f>VLOOKUP(LEFT($C$3:$C$2600,3),Table!$D$2:$E$88,2,FALSE)</f>
        <v>0</v>
      </c>
      <c r="C421" s="455" t="str">
        <f t="shared" si="13"/>
        <v>9101001410</v>
      </c>
      <c r="D421" s="455" t="e">
        <f>VLOOKUP(G421,Table!$G$3:$H$21,2,FALSE)</f>
        <v>#N/A</v>
      </c>
      <c r="E421" s="452" t="s">
        <v>902</v>
      </c>
      <c r="F421" s="452" t="s">
        <v>1205</v>
      </c>
      <c r="G421" s="452" t="s">
        <v>1056</v>
      </c>
      <c r="H421" s="452" t="s">
        <v>1057</v>
      </c>
      <c r="I421" s="453" t="s">
        <v>844</v>
      </c>
      <c r="J421" s="453">
        <v>120</v>
      </c>
      <c r="K421" s="461">
        <v>45</v>
      </c>
      <c r="L421" s="461">
        <v>45</v>
      </c>
      <c r="M421" s="461">
        <v>30</v>
      </c>
      <c r="N421" s="461">
        <v>0</v>
      </c>
      <c r="O421" s="461">
        <v>0</v>
      </c>
      <c r="P421" s="461">
        <v>0</v>
      </c>
      <c r="Q421" s="461">
        <v>0</v>
      </c>
      <c r="R421" s="461">
        <v>0</v>
      </c>
      <c r="S421" s="461">
        <v>0</v>
      </c>
      <c r="T421" s="461">
        <v>0</v>
      </c>
      <c r="U421" s="461">
        <v>0</v>
      </c>
      <c r="V421" s="461">
        <v>0</v>
      </c>
    </row>
    <row r="422" spans="1:22" s="455" customFormat="1" hidden="1">
      <c r="A422" s="455" t="str">
        <f t="shared" si="12"/>
        <v>11359101001500</v>
      </c>
      <c r="B422" s="455">
        <f>VLOOKUP(LEFT($C$3:$C$2600,3),Table!$D$2:$E$88,2,FALSE)</f>
        <v>0</v>
      </c>
      <c r="C422" s="455" t="str">
        <f t="shared" si="13"/>
        <v>9101001500</v>
      </c>
      <c r="D422" s="455" t="e">
        <f>VLOOKUP(G422,Table!$G$3:$H$21,2,FALSE)</f>
        <v>#N/A</v>
      </c>
      <c r="E422" s="452" t="s">
        <v>902</v>
      </c>
      <c r="F422" s="452" t="s">
        <v>1205</v>
      </c>
      <c r="G422" s="452" t="s">
        <v>1058</v>
      </c>
      <c r="H422" s="452" t="s">
        <v>1059</v>
      </c>
      <c r="I422" s="453" t="s">
        <v>844</v>
      </c>
      <c r="J422" s="453">
        <v>464.85</v>
      </c>
      <c r="K422" s="461">
        <v>154.94999999999999</v>
      </c>
      <c r="L422" s="461">
        <v>154.94999999999999</v>
      </c>
      <c r="M422" s="461">
        <v>154.94999999999999</v>
      </c>
      <c r="N422" s="461">
        <v>0</v>
      </c>
      <c r="O422" s="461">
        <v>0</v>
      </c>
      <c r="P422" s="461">
        <v>0</v>
      </c>
      <c r="Q422" s="461">
        <v>0</v>
      </c>
      <c r="R422" s="461">
        <v>0</v>
      </c>
      <c r="S422" s="461">
        <v>0</v>
      </c>
      <c r="T422" s="461">
        <v>0</v>
      </c>
      <c r="U422" s="461">
        <v>0</v>
      </c>
      <c r="V422" s="461">
        <v>0</v>
      </c>
    </row>
    <row r="423" spans="1:22" s="455" customFormat="1" hidden="1">
      <c r="A423" s="455" t="str">
        <f t="shared" si="12"/>
        <v>11359101001600</v>
      </c>
      <c r="B423" s="455">
        <f>VLOOKUP(LEFT($C$3:$C$2600,3),Table!$D$2:$E$88,2,FALSE)</f>
        <v>0</v>
      </c>
      <c r="C423" s="455" t="str">
        <f t="shared" si="13"/>
        <v>9101001600</v>
      </c>
      <c r="D423" s="455" t="e">
        <f>VLOOKUP(G423,Table!$G$3:$H$21,2,FALSE)</f>
        <v>#N/A</v>
      </c>
      <c r="E423" s="452" t="s">
        <v>902</v>
      </c>
      <c r="F423" s="452" t="s">
        <v>1205</v>
      </c>
      <c r="G423" s="452" t="s">
        <v>1060</v>
      </c>
      <c r="H423" s="452" t="s">
        <v>1061</v>
      </c>
      <c r="I423" s="453" t="s">
        <v>844</v>
      </c>
      <c r="J423" s="453">
        <v>5176.29</v>
      </c>
      <c r="K423" s="461">
        <v>1725.43</v>
      </c>
      <c r="L423" s="461">
        <v>1725.43</v>
      </c>
      <c r="M423" s="461">
        <v>1725.43</v>
      </c>
      <c r="N423" s="461">
        <v>0</v>
      </c>
      <c r="O423" s="461">
        <v>0</v>
      </c>
      <c r="P423" s="461">
        <v>0</v>
      </c>
      <c r="Q423" s="461">
        <v>0</v>
      </c>
      <c r="R423" s="461">
        <v>0</v>
      </c>
      <c r="S423" s="461">
        <v>0</v>
      </c>
      <c r="T423" s="461">
        <v>0</v>
      </c>
      <c r="U423" s="461">
        <v>0</v>
      </c>
      <c r="V423" s="461">
        <v>0</v>
      </c>
    </row>
    <row r="424" spans="1:22" s="455" customFormat="1" hidden="1">
      <c r="A424" s="455" t="str">
        <f t="shared" si="12"/>
        <v>11359101001700</v>
      </c>
      <c r="B424" s="455">
        <f>VLOOKUP(LEFT($C$3:$C$2600,3),Table!$D$2:$E$88,2,FALSE)</f>
        <v>0</v>
      </c>
      <c r="C424" s="455" t="str">
        <f t="shared" si="13"/>
        <v>9101001700</v>
      </c>
      <c r="D424" s="455" t="e">
        <f>VLOOKUP(G424,Table!$G$3:$H$21,2,FALSE)</f>
        <v>#N/A</v>
      </c>
      <c r="E424" s="452" t="s">
        <v>902</v>
      </c>
      <c r="F424" s="452" t="s">
        <v>1205</v>
      </c>
      <c r="G424" s="452" t="s">
        <v>1062</v>
      </c>
      <c r="H424" s="452" t="s">
        <v>1063</v>
      </c>
      <c r="I424" s="453" t="s">
        <v>844</v>
      </c>
      <c r="J424" s="453">
        <v>-20983.3</v>
      </c>
      <c r="K424" s="461">
        <v>112.96</v>
      </c>
      <c r="L424" s="461">
        <v>38.57</v>
      </c>
      <c r="M424" s="461">
        <v>-11429.48</v>
      </c>
      <c r="N424" s="461">
        <v>0</v>
      </c>
      <c r="O424" s="461">
        <v>0</v>
      </c>
      <c r="P424" s="461">
        <v>0</v>
      </c>
      <c r="Q424" s="461">
        <v>0</v>
      </c>
      <c r="R424" s="461">
        <v>0</v>
      </c>
      <c r="S424" s="461">
        <v>0</v>
      </c>
      <c r="T424" s="461">
        <v>0</v>
      </c>
      <c r="U424" s="461">
        <v>0</v>
      </c>
      <c r="V424" s="461">
        <v>0</v>
      </c>
    </row>
    <row r="425" spans="1:22" s="455" customFormat="1" hidden="1">
      <c r="A425" s="455" t="str">
        <f t="shared" si="12"/>
        <v>11359101001800</v>
      </c>
      <c r="B425" s="455">
        <f>VLOOKUP(LEFT($C$3:$C$2600,3),Table!$D$2:$E$88,2,FALSE)</f>
        <v>0</v>
      </c>
      <c r="C425" s="455" t="str">
        <f t="shared" si="13"/>
        <v>9101001800</v>
      </c>
      <c r="D425" s="455" t="e">
        <f>VLOOKUP(G425,Table!$G$3:$H$21,2,FALSE)</f>
        <v>#N/A</v>
      </c>
      <c r="E425" s="452" t="s">
        <v>902</v>
      </c>
      <c r="F425" s="452" t="s">
        <v>1205</v>
      </c>
      <c r="G425" s="452" t="s">
        <v>1064</v>
      </c>
      <c r="H425" s="452" t="s">
        <v>1065</v>
      </c>
      <c r="I425" s="453" t="s">
        <v>844</v>
      </c>
      <c r="J425" s="453">
        <v>1366.3</v>
      </c>
      <c r="K425" s="461">
        <v>498.9</v>
      </c>
      <c r="L425" s="461">
        <v>425.9</v>
      </c>
      <c r="M425" s="461">
        <v>441.5</v>
      </c>
      <c r="N425" s="461">
        <v>0</v>
      </c>
      <c r="O425" s="461">
        <v>0</v>
      </c>
      <c r="P425" s="461">
        <v>0</v>
      </c>
      <c r="Q425" s="461">
        <v>0</v>
      </c>
      <c r="R425" s="461">
        <v>0</v>
      </c>
      <c r="S425" s="461">
        <v>0</v>
      </c>
      <c r="T425" s="461">
        <v>0</v>
      </c>
      <c r="U425" s="461">
        <v>0</v>
      </c>
      <c r="V425" s="461">
        <v>0</v>
      </c>
    </row>
    <row r="426" spans="1:22" s="455" customFormat="1" hidden="1">
      <c r="A426" s="455" t="str">
        <f t="shared" si="12"/>
        <v>11359101001900</v>
      </c>
      <c r="B426" s="455">
        <f>VLOOKUP(LEFT($C$3:$C$2600,3),Table!$D$2:$E$88,2,FALSE)</f>
        <v>0</v>
      </c>
      <c r="C426" s="455" t="str">
        <f t="shared" si="13"/>
        <v>9101001900</v>
      </c>
      <c r="D426" s="455" t="e">
        <f>VLOOKUP(G426,Table!$G$3:$H$21,2,FALSE)</f>
        <v>#N/A</v>
      </c>
      <c r="E426" s="452" t="s">
        <v>902</v>
      </c>
      <c r="F426" s="452" t="s">
        <v>1205</v>
      </c>
      <c r="G426" s="452" t="s">
        <v>1066</v>
      </c>
      <c r="H426" s="452" t="s">
        <v>1007</v>
      </c>
      <c r="I426" s="453" t="s">
        <v>844</v>
      </c>
      <c r="J426" s="453">
        <v>249.96</v>
      </c>
      <c r="K426" s="461">
        <v>83.32</v>
      </c>
      <c r="L426" s="461">
        <v>83.32</v>
      </c>
      <c r="M426" s="461">
        <v>83.32</v>
      </c>
      <c r="N426" s="461">
        <v>0</v>
      </c>
      <c r="O426" s="461">
        <v>0</v>
      </c>
      <c r="P426" s="461">
        <v>0</v>
      </c>
      <c r="Q426" s="461">
        <v>0</v>
      </c>
      <c r="R426" s="461">
        <v>0</v>
      </c>
      <c r="S426" s="461">
        <v>0</v>
      </c>
      <c r="T426" s="461">
        <v>0</v>
      </c>
      <c r="U426" s="461">
        <v>0</v>
      </c>
      <c r="V426" s="461">
        <v>0</v>
      </c>
    </row>
    <row r="427" spans="1:22" s="455" customFormat="1" hidden="1">
      <c r="A427" s="455" t="str">
        <f t="shared" si="12"/>
        <v>11359101101000</v>
      </c>
      <c r="B427" s="455">
        <f>VLOOKUP(LEFT($C$3:$C$2600,3),Table!$D$2:$E$88,2,FALSE)</f>
        <v>0</v>
      </c>
      <c r="C427" s="455" t="str">
        <f t="shared" si="13"/>
        <v>9101101000</v>
      </c>
      <c r="D427" s="455" t="e">
        <f>VLOOKUP(G427,Table!$G$3:$H$21,2,FALSE)</f>
        <v>#N/A</v>
      </c>
      <c r="E427" s="452" t="s">
        <v>902</v>
      </c>
      <c r="F427" s="452" t="s">
        <v>1205</v>
      </c>
      <c r="G427" s="452" t="s">
        <v>1067</v>
      </c>
      <c r="H427" s="452" t="s">
        <v>1068</v>
      </c>
      <c r="I427" s="453" t="s">
        <v>844</v>
      </c>
      <c r="J427" s="453">
        <v>38231.629999999997</v>
      </c>
      <c r="K427" s="461">
        <v>9131.14</v>
      </c>
      <c r="L427" s="461">
        <v>16337.75</v>
      </c>
      <c r="M427" s="461">
        <v>15067.08</v>
      </c>
      <c r="N427" s="461">
        <v>0</v>
      </c>
      <c r="O427" s="461">
        <v>0</v>
      </c>
      <c r="P427" s="461">
        <v>0</v>
      </c>
      <c r="Q427" s="461">
        <v>0</v>
      </c>
      <c r="R427" s="461">
        <v>0</v>
      </c>
      <c r="S427" s="461">
        <v>0</v>
      </c>
      <c r="T427" s="461">
        <v>0</v>
      </c>
      <c r="U427" s="461">
        <v>0</v>
      </c>
      <c r="V427" s="461">
        <v>0</v>
      </c>
    </row>
    <row r="428" spans="1:22" s="455" customFormat="1" hidden="1">
      <c r="A428" s="455" t="str">
        <f t="shared" si="12"/>
        <v>11359101101100</v>
      </c>
      <c r="B428" s="455">
        <f>VLOOKUP(LEFT($C$3:$C$2600,3),Table!$D$2:$E$88,2,FALSE)</f>
        <v>0</v>
      </c>
      <c r="C428" s="455" t="str">
        <f t="shared" si="13"/>
        <v>9101101100</v>
      </c>
      <c r="D428" s="455" t="e">
        <f>VLOOKUP(G428,Table!$G$3:$H$21,2,FALSE)</f>
        <v>#N/A</v>
      </c>
      <c r="E428" s="452" t="s">
        <v>902</v>
      </c>
      <c r="F428" s="452" t="s">
        <v>1205</v>
      </c>
      <c r="G428" s="452" t="s">
        <v>1069</v>
      </c>
      <c r="H428" s="452" t="s">
        <v>1070</v>
      </c>
      <c r="I428" s="453" t="s">
        <v>844</v>
      </c>
      <c r="J428" s="453">
        <v>17172.849999999999</v>
      </c>
      <c r="K428" s="461">
        <v>4097.5600000000004</v>
      </c>
      <c r="L428" s="461">
        <v>8017.5</v>
      </c>
      <c r="M428" s="461">
        <v>6170.46</v>
      </c>
      <c r="N428" s="461">
        <v>0</v>
      </c>
      <c r="O428" s="461">
        <v>0</v>
      </c>
      <c r="P428" s="461">
        <v>0</v>
      </c>
      <c r="Q428" s="461">
        <v>0</v>
      </c>
      <c r="R428" s="461">
        <v>0</v>
      </c>
      <c r="S428" s="461">
        <v>0</v>
      </c>
      <c r="T428" s="461">
        <v>0</v>
      </c>
      <c r="U428" s="461">
        <v>0</v>
      </c>
      <c r="V428" s="461">
        <v>0</v>
      </c>
    </row>
    <row r="429" spans="1:22" s="455" customFormat="1" hidden="1">
      <c r="A429" s="455" t="str">
        <f t="shared" si="12"/>
        <v>11359101101200</v>
      </c>
      <c r="B429" s="455">
        <f>VLOOKUP(LEFT($C$3:$C$2600,3),Table!$D$2:$E$88,2,FALSE)</f>
        <v>0</v>
      </c>
      <c r="C429" s="455" t="str">
        <f t="shared" si="13"/>
        <v>9101101200</v>
      </c>
      <c r="D429" s="455" t="e">
        <f>VLOOKUP(G429,Table!$G$3:$H$21,2,FALSE)</f>
        <v>#N/A</v>
      </c>
      <c r="E429" s="452" t="s">
        <v>902</v>
      </c>
      <c r="F429" s="452" t="s">
        <v>1205</v>
      </c>
      <c r="G429" s="452" t="s">
        <v>1071</v>
      </c>
      <c r="H429" s="452" t="s">
        <v>1072</v>
      </c>
      <c r="I429" s="453" t="s">
        <v>844</v>
      </c>
      <c r="J429" s="453">
        <v>5004.93</v>
      </c>
      <c r="K429" s="461">
        <v>1172.53</v>
      </c>
      <c r="L429" s="461">
        <v>1908.26</v>
      </c>
      <c r="M429" s="461">
        <v>1924.14</v>
      </c>
      <c r="N429" s="461">
        <v>0</v>
      </c>
      <c r="O429" s="461">
        <v>0</v>
      </c>
      <c r="P429" s="461">
        <v>0</v>
      </c>
      <c r="Q429" s="461">
        <v>0</v>
      </c>
      <c r="R429" s="461">
        <v>0</v>
      </c>
      <c r="S429" s="461">
        <v>0</v>
      </c>
      <c r="T429" s="461">
        <v>0</v>
      </c>
      <c r="U429" s="461">
        <v>0</v>
      </c>
      <c r="V429" s="461">
        <v>0</v>
      </c>
    </row>
    <row r="430" spans="1:22" s="455" customFormat="1" hidden="1">
      <c r="A430" s="455" t="str">
        <f t="shared" si="12"/>
        <v>11359101101400</v>
      </c>
      <c r="B430" s="455">
        <f>VLOOKUP(LEFT($C$3:$C$2600,3),Table!$D$2:$E$88,2,FALSE)</f>
        <v>0</v>
      </c>
      <c r="C430" s="455" t="str">
        <f t="shared" si="13"/>
        <v>9101101400</v>
      </c>
      <c r="D430" s="455" t="e">
        <f>VLOOKUP(G430,Table!$G$3:$H$21,2,FALSE)</f>
        <v>#N/A</v>
      </c>
      <c r="E430" s="452" t="s">
        <v>902</v>
      </c>
      <c r="F430" s="452" t="s">
        <v>1205</v>
      </c>
      <c r="G430" s="452" t="s">
        <v>1075</v>
      </c>
      <c r="H430" s="452" t="s">
        <v>1076</v>
      </c>
      <c r="I430" s="453" t="s">
        <v>844</v>
      </c>
      <c r="J430" s="453">
        <v>6535</v>
      </c>
      <c r="K430" s="461">
        <v>1395</v>
      </c>
      <c r="L430" s="461">
        <v>2607</v>
      </c>
      <c r="M430" s="461">
        <v>2533</v>
      </c>
      <c r="N430" s="461">
        <v>0</v>
      </c>
      <c r="O430" s="461">
        <v>0</v>
      </c>
      <c r="P430" s="461">
        <v>0</v>
      </c>
      <c r="Q430" s="461">
        <v>0</v>
      </c>
      <c r="R430" s="461">
        <v>0</v>
      </c>
      <c r="S430" s="461">
        <v>0</v>
      </c>
      <c r="T430" s="461">
        <v>0</v>
      </c>
      <c r="U430" s="461">
        <v>0</v>
      </c>
      <c r="V430" s="461">
        <v>0</v>
      </c>
    </row>
    <row r="431" spans="1:22" s="455" customFormat="1" hidden="1">
      <c r="A431" s="455" t="str">
        <f t="shared" si="12"/>
        <v>11359101101410</v>
      </c>
      <c r="B431" s="455">
        <f>VLOOKUP(LEFT($C$3:$C$2600,3),Table!$D$2:$E$88,2,FALSE)</f>
        <v>0</v>
      </c>
      <c r="C431" s="455" t="str">
        <f t="shared" si="13"/>
        <v>9101101410</v>
      </c>
      <c r="D431" s="455" t="e">
        <f>VLOOKUP(G431,Table!$G$3:$H$21,2,FALSE)</f>
        <v>#N/A</v>
      </c>
      <c r="E431" s="452" t="s">
        <v>902</v>
      </c>
      <c r="F431" s="452" t="s">
        <v>1205</v>
      </c>
      <c r="G431" s="452" t="s">
        <v>1077</v>
      </c>
      <c r="H431" s="452" t="s">
        <v>1078</v>
      </c>
      <c r="I431" s="453" t="s">
        <v>844</v>
      </c>
      <c r="J431" s="453">
        <v>255</v>
      </c>
      <c r="K431" s="461">
        <v>75</v>
      </c>
      <c r="L431" s="461">
        <v>120</v>
      </c>
      <c r="M431" s="461">
        <v>60</v>
      </c>
      <c r="N431" s="461">
        <v>0</v>
      </c>
      <c r="O431" s="461">
        <v>0</v>
      </c>
      <c r="P431" s="461">
        <v>0</v>
      </c>
      <c r="Q431" s="461">
        <v>0</v>
      </c>
      <c r="R431" s="461">
        <v>0</v>
      </c>
      <c r="S431" s="461">
        <v>0</v>
      </c>
      <c r="T431" s="461">
        <v>0</v>
      </c>
      <c r="U431" s="461">
        <v>0</v>
      </c>
      <c r="V431" s="461">
        <v>0</v>
      </c>
    </row>
    <row r="432" spans="1:22" s="455" customFormat="1" hidden="1">
      <c r="A432" s="455" t="str">
        <f t="shared" si="12"/>
        <v>11359101101500</v>
      </c>
      <c r="B432" s="455">
        <f>VLOOKUP(LEFT($C$3:$C$2600,3),Table!$D$2:$E$88,2,FALSE)</f>
        <v>0</v>
      </c>
      <c r="C432" s="455" t="str">
        <f t="shared" si="13"/>
        <v>9101101500</v>
      </c>
      <c r="D432" s="455" t="e">
        <f>VLOOKUP(G432,Table!$G$3:$H$21,2,FALSE)</f>
        <v>#N/A</v>
      </c>
      <c r="E432" s="452" t="s">
        <v>902</v>
      </c>
      <c r="F432" s="452" t="s">
        <v>1205</v>
      </c>
      <c r="G432" s="452" t="s">
        <v>1079</v>
      </c>
      <c r="H432" s="452" t="s">
        <v>1080</v>
      </c>
      <c r="I432" s="453" t="s">
        <v>844</v>
      </c>
      <c r="J432" s="453">
        <v>1062.5</v>
      </c>
      <c r="K432" s="461">
        <v>230.15</v>
      </c>
      <c r="L432" s="461">
        <v>433.15</v>
      </c>
      <c r="M432" s="461">
        <v>399.2</v>
      </c>
      <c r="N432" s="461">
        <v>0</v>
      </c>
      <c r="O432" s="461">
        <v>0</v>
      </c>
      <c r="P432" s="461">
        <v>0</v>
      </c>
      <c r="Q432" s="461">
        <v>0</v>
      </c>
      <c r="R432" s="461">
        <v>0</v>
      </c>
      <c r="S432" s="461">
        <v>0</v>
      </c>
      <c r="T432" s="461">
        <v>0</v>
      </c>
      <c r="U432" s="461">
        <v>0</v>
      </c>
      <c r="V432" s="461">
        <v>0</v>
      </c>
    </row>
    <row r="433" spans="1:22" s="455" customFormat="1" hidden="1">
      <c r="A433" s="455" t="str">
        <f t="shared" si="12"/>
        <v>11359101101600</v>
      </c>
      <c r="B433" s="455">
        <f>VLOOKUP(LEFT($C$3:$C$2600,3),Table!$D$2:$E$88,2,FALSE)</f>
        <v>0</v>
      </c>
      <c r="C433" s="455" t="str">
        <f t="shared" si="13"/>
        <v>9101101600</v>
      </c>
      <c r="D433" s="455" t="e">
        <f>VLOOKUP(G433,Table!$G$3:$H$21,2,FALSE)</f>
        <v>#N/A</v>
      </c>
      <c r="E433" s="452" t="s">
        <v>902</v>
      </c>
      <c r="F433" s="452" t="s">
        <v>1205</v>
      </c>
      <c r="G433" s="452" t="s">
        <v>1081</v>
      </c>
      <c r="H433" s="452" t="s">
        <v>1082</v>
      </c>
      <c r="I433" s="453" t="s">
        <v>844</v>
      </c>
      <c r="J433" s="453">
        <v>9611.52</v>
      </c>
      <c r="K433" s="461">
        <v>2260.0700000000002</v>
      </c>
      <c r="L433" s="461">
        <v>3800.3</v>
      </c>
      <c r="M433" s="461">
        <v>3551.15</v>
      </c>
      <c r="N433" s="461">
        <v>0</v>
      </c>
      <c r="O433" s="461">
        <v>0</v>
      </c>
      <c r="P433" s="461">
        <v>0</v>
      </c>
      <c r="Q433" s="461">
        <v>0</v>
      </c>
      <c r="R433" s="461">
        <v>0</v>
      </c>
      <c r="S433" s="461">
        <v>0</v>
      </c>
      <c r="T433" s="461">
        <v>0</v>
      </c>
      <c r="U433" s="461">
        <v>0</v>
      </c>
      <c r="V433" s="461">
        <v>0</v>
      </c>
    </row>
    <row r="434" spans="1:22" s="455" customFormat="1" hidden="1">
      <c r="A434" s="455" t="str">
        <f t="shared" si="12"/>
        <v>11359101101700</v>
      </c>
      <c r="B434" s="455">
        <f>VLOOKUP(LEFT($C$3:$C$2600,3),Table!$D$2:$E$88,2,FALSE)</f>
        <v>0</v>
      </c>
      <c r="C434" s="455" t="str">
        <f t="shared" si="13"/>
        <v>9101101700</v>
      </c>
      <c r="D434" s="455" t="e">
        <f>VLOOKUP(G434,Table!$G$3:$H$21,2,FALSE)</f>
        <v>#N/A</v>
      </c>
      <c r="E434" s="452" t="s">
        <v>902</v>
      </c>
      <c r="F434" s="452" t="s">
        <v>1205</v>
      </c>
      <c r="G434" s="452" t="s">
        <v>1083</v>
      </c>
      <c r="H434" s="452" t="s">
        <v>1084</v>
      </c>
      <c r="I434" s="453" t="s">
        <v>844</v>
      </c>
      <c r="J434" s="453">
        <v>-16279.53</v>
      </c>
      <c r="K434" s="461">
        <v>350.03</v>
      </c>
      <c r="L434" s="461">
        <v>392.73</v>
      </c>
      <c r="M434" s="461">
        <v>-87.08</v>
      </c>
      <c r="N434" s="461">
        <v>0</v>
      </c>
      <c r="O434" s="461">
        <v>0</v>
      </c>
      <c r="P434" s="461">
        <v>0</v>
      </c>
      <c r="Q434" s="461">
        <v>0</v>
      </c>
      <c r="R434" s="461">
        <v>0</v>
      </c>
      <c r="S434" s="461">
        <v>0</v>
      </c>
      <c r="T434" s="461">
        <v>0</v>
      </c>
      <c r="U434" s="461">
        <v>0</v>
      </c>
      <c r="V434" s="461">
        <v>0</v>
      </c>
    </row>
    <row r="435" spans="1:22" s="455" customFormat="1" hidden="1">
      <c r="A435" s="455" t="str">
        <f t="shared" si="12"/>
        <v>11359101101800</v>
      </c>
      <c r="B435" s="455">
        <f>VLOOKUP(LEFT($C$3:$C$2600,3),Table!$D$2:$E$88,2,FALSE)</f>
        <v>0</v>
      </c>
      <c r="C435" s="455" t="str">
        <f t="shared" si="13"/>
        <v>9101101800</v>
      </c>
      <c r="D435" s="455" t="e">
        <f>VLOOKUP(G435,Table!$G$3:$H$21,2,FALSE)</f>
        <v>#N/A</v>
      </c>
      <c r="E435" s="452" t="s">
        <v>902</v>
      </c>
      <c r="F435" s="452" t="s">
        <v>1205</v>
      </c>
      <c r="G435" s="452" t="s">
        <v>1085</v>
      </c>
      <c r="H435" s="452" t="s">
        <v>1086</v>
      </c>
      <c r="I435" s="453" t="s">
        <v>844</v>
      </c>
      <c r="J435" s="453">
        <v>3869.8</v>
      </c>
      <c r="K435" s="461">
        <v>1002.1</v>
      </c>
      <c r="L435" s="461">
        <v>1474.6</v>
      </c>
      <c r="M435" s="461">
        <v>1393.1</v>
      </c>
      <c r="N435" s="461">
        <v>0</v>
      </c>
      <c r="O435" s="461">
        <v>0</v>
      </c>
      <c r="P435" s="461">
        <v>0</v>
      </c>
      <c r="Q435" s="461">
        <v>0</v>
      </c>
      <c r="R435" s="461">
        <v>0</v>
      </c>
      <c r="S435" s="461">
        <v>0</v>
      </c>
      <c r="T435" s="461">
        <v>0</v>
      </c>
      <c r="U435" s="461">
        <v>0</v>
      </c>
      <c r="V435" s="461">
        <v>0</v>
      </c>
    </row>
    <row r="436" spans="1:22" s="455" customFormat="1" hidden="1">
      <c r="A436" s="455" t="str">
        <f t="shared" si="12"/>
        <v>11359101101900</v>
      </c>
      <c r="B436" s="455">
        <f>VLOOKUP(LEFT($C$3:$C$2600,3),Table!$D$2:$E$88,2,FALSE)</f>
        <v>0</v>
      </c>
      <c r="C436" s="455" t="str">
        <f t="shared" si="13"/>
        <v>9101101900</v>
      </c>
      <c r="D436" s="455" t="e">
        <f>VLOOKUP(G436,Table!$G$3:$H$21,2,FALSE)</f>
        <v>#N/A</v>
      </c>
      <c r="E436" s="452" t="s">
        <v>902</v>
      </c>
      <c r="F436" s="452" t="s">
        <v>1205</v>
      </c>
      <c r="G436" s="452" t="s">
        <v>1087</v>
      </c>
      <c r="H436" s="452" t="s">
        <v>1088</v>
      </c>
      <c r="I436" s="453" t="s">
        <v>844</v>
      </c>
      <c r="J436" s="453">
        <v>463.76</v>
      </c>
      <c r="K436" s="461">
        <v>103.2</v>
      </c>
      <c r="L436" s="461">
        <v>182.44</v>
      </c>
      <c r="M436" s="461">
        <v>178.12</v>
      </c>
      <c r="N436" s="461">
        <v>0</v>
      </c>
      <c r="O436" s="461">
        <v>0</v>
      </c>
      <c r="P436" s="461">
        <v>0</v>
      </c>
      <c r="Q436" s="461">
        <v>0</v>
      </c>
      <c r="R436" s="461">
        <v>0</v>
      </c>
      <c r="S436" s="461">
        <v>0</v>
      </c>
      <c r="T436" s="461">
        <v>0</v>
      </c>
      <c r="U436" s="461">
        <v>0</v>
      </c>
      <c r="V436" s="461">
        <v>0</v>
      </c>
    </row>
    <row r="437" spans="1:22" s="455" customFormat="1" hidden="1">
      <c r="A437" s="455" t="str">
        <f t="shared" si="12"/>
        <v>11359101201000</v>
      </c>
      <c r="B437" s="455">
        <f>VLOOKUP(LEFT($C$3:$C$2600,3),Table!$D$2:$E$88,2,FALSE)</f>
        <v>0</v>
      </c>
      <c r="C437" s="455" t="str">
        <f t="shared" si="13"/>
        <v>9101201000</v>
      </c>
      <c r="D437" s="455" t="e">
        <f>VLOOKUP(G437,Table!$G$3:$H$21,2,FALSE)</f>
        <v>#N/A</v>
      </c>
      <c r="E437" s="452" t="s">
        <v>902</v>
      </c>
      <c r="F437" s="452" t="s">
        <v>1205</v>
      </c>
      <c r="G437" s="452" t="s">
        <v>1091</v>
      </c>
      <c r="H437" s="452" t="s">
        <v>1092</v>
      </c>
      <c r="I437" s="453" t="s">
        <v>844</v>
      </c>
      <c r="J437" s="453">
        <v>631529</v>
      </c>
      <c r="K437" s="461">
        <v>214324</v>
      </c>
      <c r="L437" s="461">
        <v>205022</v>
      </c>
      <c r="M437" s="461">
        <v>212183</v>
      </c>
      <c r="N437" s="461">
        <v>0</v>
      </c>
      <c r="O437" s="461">
        <v>0</v>
      </c>
      <c r="P437" s="461">
        <v>0</v>
      </c>
      <c r="Q437" s="461">
        <v>0</v>
      </c>
      <c r="R437" s="461">
        <v>0</v>
      </c>
      <c r="S437" s="461">
        <v>0</v>
      </c>
      <c r="T437" s="461">
        <v>0</v>
      </c>
      <c r="U437" s="461">
        <v>0</v>
      </c>
      <c r="V437" s="461">
        <v>0</v>
      </c>
    </row>
    <row r="438" spans="1:22" s="455" customFormat="1" hidden="1">
      <c r="A438" s="455" t="str">
        <f t="shared" si="12"/>
        <v>11359101301000</v>
      </c>
      <c r="B438" s="455">
        <f>VLOOKUP(LEFT($C$3:$C$2600,3),Table!$D$2:$E$88,2,FALSE)</f>
        <v>0</v>
      </c>
      <c r="C438" s="455" t="str">
        <f t="shared" si="13"/>
        <v>9101301000</v>
      </c>
      <c r="D438" s="455" t="e">
        <f>VLOOKUP(G438,Table!$G$3:$H$21,2,FALSE)</f>
        <v>#N/A</v>
      </c>
      <c r="E438" s="452" t="s">
        <v>902</v>
      </c>
      <c r="F438" s="452" t="s">
        <v>1205</v>
      </c>
      <c r="G438" s="452" t="s">
        <v>967</v>
      </c>
      <c r="H438" s="452" t="s">
        <v>968</v>
      </c>
      <c r="I438" s="453" t="s">
        <v>844</v>
      </c>
      <c r="J438" s="453">
        <v>21888.799999999999</v>
      </c>
      <c r="K438" s="461">
        <v>9980</v>
      </c>
      <c r="L438" s="461">
        <v>0</v>
      </c>
      <c r="M438" s="461">
        <v>11908.8</v>
      </c>
      <c r="N438" s="461">
        <v>0</v>
      </c>
      <c r="O438" s="461">
        <v>0</v>
      </c>
      <c r="P438" s="461">
        <v>0</v>
      </c>
      <c r="Q438" s="461">
        <v>0</v>
      </c>
      <c r="R438" s="461">
        <v>0</v>
      </c>
      <c r="S438" s="461">
        <v>0</v>
      </c>
      <c r="T438" s="461">
        <v>0</v>
      </c>
      <c r="U438" s="461">
        <v>0</v>
      </c>
      <c r="V438" s="461">
        <v>0</v>
      </c>
    </row>
    <row r="439" spans="1:22" s="455" customFormat="1" hidden="1">
      <c r="A439" s="455" t="str">
        <f t="shared" si="12"/>
        <v>11359101301200</v>
      </c>
      <c r="B439" s="455">
        <f>VLOOKUP(LEFT($C$3:$C$2600,3),Table!$D$2:$E$88,2,FALSE)</f>
        <v>0</v>
      </c>
      <c r="C439" s="455" t="str">
        <f t="shared" si="13"/>
        <v>9101301200</v>
      </c>
      <c r="D439" s="455" t="e">
        <f>VLOOKUP(G439,Table!$G$3:$H$21,2,FALSE)</f>
        <v>#N/A</v>
      </c>
      <c r="E439" s="452" t="s">
        <v>902</v>
      </c>
      <c r="F439" s="452" t="s">
        <v>1205</v>
      </c>
      <c r="G439" s="452" t="s">
        <v>969</v>
      </c>
      <c r="H439" s="452" t="s">
        <v>970</v>
      </c>
      <c r="I439" s="453" t="s">
        <v>844</v>
      </c>
      <c r="J439" s="453">
        <v>42567.06</v>
      </c>
      <c r="K439" s="461">
        <v>7444.22</v>
      </c>
      <c r="L439" s="461">
        <v>9968.44</v>
      </c>
      <c r="M439" s="461">
        <v>27663.74</v>
      </c>
      <c r="N439" s="461">
        <v>0</v>
      </c>
      <c r="O439" s="461">
        <v>0</v>
      </c>
      <c r="P439" s="461">
        <v>0</v>
      </c>
      <c r="Q439" s="461">
        <v>0</v>
      </c>
      <c r="R439" s="461">
        <v>0</v>
      </c>
      <c r="S439" s="461">
        <v>0</v>
      </c>
      <c r="T439" s="461">
        <v>0</v>
      </c>
      <c r="U439" s="461">
        <v>0</v>
      </c>
      <c r="V439" s="461">
        <v>0</v>
      </c>
    </row>
    <row r="440" spans="1:22" s="455" customFormat="1" hidden="1">
      <c r="A440" s="455" t="str">
        <f t="shared" si="12"/>
        <v>11359101301500</v>
      </c>
      <c r="B440" s="455">
        <f>VLOOKUP(LEFT($C$3:$C$2600,3),Table!$D$2:$E$88,2,FALSE)</f>
        <v>0</v>
      </c>
      <c r="C440" s="455" t="str">
        <f t="shared" si="13"/>
        <v>9101301500</v>
      </c>
      <c r="D440" s="455" t="e">
        <f>VLOOKUP(G440,Table!$G$3:$H$21,2,FALSE)</f>
        <v>#N/A</v>
      </c>
      <c r="E440" s="452" t="s">
        <v>902</v>
      </c>
      <c r="F440" s="452" t="s">
        <v>1205</v>
      </c>
      <c r="G440" s="452" t="s">
        <v>971</v>
      </c>
      <c r="H440" s="452" t="s">
        <v>972</v>
      </c>
      <c r="I440" s="453" t="s">
        <v>844</v>
      </c>
      <c r="J440" s="453">
        <v>1454.9</v>
      </c>
      <c r="K440" s="461">
        <v>0</v>
      </c>
      <c r="L440" s="461">
        <v>486.8</v>
      </c>
      <c r="M440" s="461">
        <v>968.1</v>
      </c>
      <c r="N440" s="461">
        <v>0</v>
      </c>
      <c r="O440" s="461">
        <v>0</v>
      </c>
      <c r="P440" s="461">
        <v>0</v>
      </c>
      <c r="Q440" s="461">
        <v>0</v>
      </c>
      <c r="R440" s="461">
        <v>0</v>
      </c>
      <c r="S440" s="461">
        <v>0</v>
      </c>
      <c r="T440" s="461">
        <v>0</v>
      </c>
      <c r="U440" s="461">
        <v>0</v>
      </c>
      <c r="V440" s="461">
        <v>0</v>
      </c>
    </row>
    <row r="441" spans="1:22" s="455" customFormat="1" hidden="1">
      <c r="A441" s="455" t="str">
        <f t="shared" si="12"/>
        <v>11359101302500</v>
      </c>
      <c r="B441" s="455">
        <f>VLOOKUP(LEFT($C$3:$C$2600,3),Table!$D$2:$E$88,2,FALSE)</f>
        <v>0</v>
      </c>
      <c r="C441" s="455" t="str">
        <f t="shared" si="13"/>
        <v>9101302500</v>
      </c>
      <c r="D441" s="455" t="e">
        <f>VLOOKUP(G441,Table!$G$3:$H$21,2,FALSE)</f>
        <v>#N/A</v>
      </c>
      <c r="E441" s="452" t="s">
        <v>902</v>
      </c>
      <c r="F441" s="452" t="s">
        <v>1205</v>
      </c>
      <c r="G441" s="452" t="s">
        <v>973</v>
      </c>
      <c r="H441" s="452" t="s">
        <v>974</v>
      </c>
      <c r="I441" s="453" t="s">
        <v>844</v>
      </c>
      <c r="J441" s="453">
        <v>9311.1</v>
      </c>
      <c r="K441" s="461">
        <v>958.55</v>
      </c>
      <c r="L441" s="461">
        <v>3341.95</v>
      </c>
      <c r="M441" s="461">
        <v>7810.6</v>
      </c>
      <c r="N441" s="461">
        <v>0</v>
      </c>
      <c r="O441" s="461">
        <v>0</v>
      </c>
      <c r="P441" s="461">
        <v>0</v>
      </c>
      <c r="Q441" s="461">
        <v>0</v>
      </c>
      <c r="R441" s="461">
        <v>0</v>
      </c>
      <c r="S441" s="461">
        <v>0</v>
      </c>
      <c r="T441" s="461">
        <v>0</v>
      </c>
      <c r="U441" s="461">
        <v>0</v>
      </c>
      <c r="V441" s="461">
        <v>0</v>
      </c>
    </row>
    <row r="442" spans="1:22" s="455" customFormat="1" hidden="1">
      <c r="A442" s="455" t="str">
        <f t="shared" si="12"/>
        <v>11359101303600</v>
      </c>
      <c r="B442" s="455">
        <f>VLOOKUP(LEFT($C$3:$C$2600,3),Table!$D$2:$E$88,2,FALSE)</f>
        <v>0</v>
      </c>
      <c r="C442" s="455" t="str">
        <f t="shared" si="13"/>
        <v>9101303600</v>
      </c>
      <c r="D442" s="455" t="e">
        <f>VLOOKUP(G442,Table!$G$3:$H$21,2,FALSE)</f>
        <v>#N/A</v>
      </c>
      <c r="E442" s="452" t="s">
        <v>902</v>
      </c>
      <c r="F442" s="452" t="s">
        <v>1205</v>
      </c>
      <c r="G442" s="452" t="s">
        <v>1193</v>
      </c>
      <c r="H442" s="452" t="s">
        <v>1194</v>
      </c>
      <c r="I442" s="453" t="s">
        <v>844</v>
      </c>
      <c r="J442" s="453">
        <v>2050</v>
      </c>
      <c r="K442" s="461">
        <v>0</v>
      </c>
      <c r="L442" s="461">
        <v>0</v>
      </c>
      <c r="M442" s="461">
        <v>2050</v>
      </c>
      <c r="N442" s="461">
        <v>0</v>
      </c>
      <c r="O442" s="461">
        <v>0</v>
      </c>
      <c r="P442" s="461">
        <v>0</v>
      </c>
      <c r="Q442" s="461">
        <v>0</v>
      </c>
      <c r="R442" s="461">
        <v>0</v>
      </c>
      <c r="S442" s="461">
        <v>0</v>
      </c>
      <c r="T442" s="461">
        <v>0</v>
      </c>
      <c r="U442" s="461">
        <v>0</v>
      </c>
      <c r="V442" s="461">
        <v>0</v>
      </c>
    </row>
    <row r="443" spans="1:22" s="455" customFormat="1" hidden="1">
      <c r="A443" s="455" t="str">
        <f t="shared" si="12"/>
        <v>11359101303800</v>
      </c>
      <c r="B443" s="455">
        <f>VLOOKUP(LEFT($C$3:$C$2600,3),Table!$D$2:$E$88,2,FALSE)</f>
        <v>0</v>
      </c>
      <c r="C443" s="455" t="str">
        <f t="shared" si="13"/>
        <v>9101303800</v>
      </c>
      <c r="D443" s="455" t="e">
        <f>VLOOKUP(G443,Table!$G$3:$H$21,2,FALSE)</f>
        <v>#N/A</v>
      </c>
      <c r="E443" s="452" t="s">
        <v>902</v>
      </c>
      <c r="F443" s="452" t="s">
        <v>1205</v>
      </c>
      <c r="G443" s="452" t="s">
        <v>1163</v>
      </c>
      <c r="H443" s="452" t="s">
        <v>1200</v>
      </c>
      <c r="I443" s="453" t="s">
        <v>844</v>
      </c>
      <c r="J443" s="453">
        <v>188949.15</v>
      </c>
      <c r="K443" s="461">
        <v>75426</v>
      </c>
      <c r="L443" s="461">
        <v>56339.4</v>
      </c>
      <c r="M443" s="461">
        <v>57183.75</v>
      </c>
      <c r="N443" s="461">
        <v>0</v>
      </c>
      <c r="O443" s="461">
        <v>0</v>
      </c>
      <c r="P443" s="461">
        <v>0</v>
      </c>
      <c r="Q443" s="461">
        <v>0</v>
      </c>
      <c r="R443" s="461">
        <v>0</v>
      </c>
      <c r="S443" s="461">
        <v>0</v>
      </c>
      <c r="T443" s="461">
        <v>0</v>
      </c>
      <c r="U443" s="461">
        <v>0</v>
      </c>
      <c r="V443" s="461">
        <v>0</v>
      </c>
    </row>
    <row r="444" spans="1:22" s="455" customFormat="1" hidden="1">
      <c r="A444" s="455" t="str">
        <f t="shared" si="12"/>
        <v>11359101303900</v>
      </c>
      <c r="B444" s="455">
        <f>VLOOKUP(LEFT($C$3:$C$2600,3),Table!$D$2:$E$88,2,FALSE)</f>
        <v>0</v>
      </c>
      <c r="C444" s="455" t="str">
        <f t="shared" si="13"/>
        <v>9101303900</v>
      </c>
      <c r="D444" s="455" t="e">
        <f>VLOOKUP(G444,Table!$G$3:$H$21,2,FALSE)</f>
        <v>#N/A</v>
      </c>
      <c r="E444" s="452" t="s">
        <v>902</v>
      </c>
      <c r="F444" s="452" t="s">
        <v>1205</v>
      </c>
      <c r="G444" s="452" t="s">
        <v>979</v>
      </c>
      <c r="H444" s="452" t="s">
        <v>980</v>
      </c>
      <c r="I444" s="453" t="s">
        <v>844</v>
      </c>
      <c r="J444" s="453">
        <v>4340.38</v>
      </c>
      <c r="K444" s="461">
        <v>0</v>
      </c>
      <c r="L444" s="461">
        <v>2052.38</v>
      </c>
      <c r="M444" s="461">
        <v>2288</v>
      </c>
      <c r="N444" s="461">
        <v>0</v>
      </c>
      <c r="O444" s="461">
        <v>0</v>
      </c>
      <c r="P444" s="461">
        <v>0</v>
      </c>
      <c r="Q444" s="461">
        <v>0</v>
      </c>
      <c r="R444" s="461">
        <v>0</v>
      </c>
      <c r="S444" s="461">
        <v>0</v>
      </c>
      <c r="T444" s="461">
        <v>0</v>
      </c>
      <c r="U444" s="461">
        <v>0</v>
      </c>
      <c r="V444" s="461">
        <v>0</v>
      </c>
    </row>
    <row r="445" spans="1:22" s="455" customFormat="1" hidden="1">
      <c r="A445" s="455" t="str">
        <f t="shared" si="12"/>
        <v>11359101306300</v>
      </c>
      <c r="B445" s="455">
        <f>VLOOKUP(LEFT($C$3:$C$2600,3),Table!$D$2:$E$88,2,FALSE)</f>
        <v>0</v>
      </c>
      <c r="C445" s="455" t="str">
        <f t="shared" si="13"/>
        <v>9101306300</v>
      </c>
      <c r="D445" s="455" t="e">
        <f>VLOOKUP(G445,Table!$G$3:$H$21,2,FALSE)</f>
        <v>#N/A</v>
      </c>
      <c r="E445" s="452" t="s">
        <v>902</v>
      </c>
      <c r="F445" s="452" t="s">
        <v>1205</v>
      </c>
      <c r="G445" s="452" t="s">
        <v>1164</v>
      </c>
      <c r="H445" s="452" t="s">
        <v>1165</v>
      </c>
      <c r="I445" s="453" t="s">
        <v>844</v>
      </c>
      <c r="J445" s="453">
        <v>21025</v>
      </c>
      <c r="K445" s="461">
        <v>6096</v>
      </c>
      <c r="L445" s="461">
        <v>7480</v>
      </c>
      <c r="M445" s="461">
        <v>6738</v>
      </c>
      <c r="N445" s="461">
        <v>0</v>
      </c>
      <c r="O445" s="461">
        <v>0</v>
      </c>
      <c r="P445" s="461">
        <v>0</v>
      </c>
      <c r="Q445" s="461">
        <v>0</v>
      </c>
      <c r="R445" s="461">
        <v>0</v>
      </c>
      <c r="S445" s="461">
        <v>0</v>
      </c>
      <c r="T445" s="461">
        <v>0</v>
      </c>
      <c r="U445" s="461">
        <v>0</v>
      </c>
      <c r="V445" s="461">
        <v>0</v>
      </c>
    </row>
    <row r="446" spans="1:22" s="455" customFormat="1" hidden="1">
      <c r="A446" s="455" t="str">
        <f t="shared" si="12"/>
        <v>11359151001000</v>
      </c>
      <c r="B446" s="455">
        <f>VLOOKUP(LEFT($C$3:$C$2600,3),Table!$D$2:$E$88,2,FALSE)</f>
        <v>0</v>
      </c>
      <c r="C446" s="455" t="str">
        <f t="shared" si="13"/>
        <v>9151001000</v>
      </c>
      <c r="D446" s="455" t="e">
        <f>VLOOKUP(G446,Table!$G$3:$H$21,2,FALSE)</f>
        <v>#N/A</v>
      </c>
      <c r="E446" s="452" t="s">
        <v>902</v>
      </c>
      <c r="F446" s="452" t="s">
        <v>1205</v>
      </c>
      <c r="G446" s="452" t="s">
        <v>1129</v>
      </c>
      <c r="H446" s="452" t="s">
        <v>994</v>
      </c>
      <c r="I446" s="453" t="s">
        <v>844</v>
      </c>
      <c r="J446" s="453">
        <v>4132.6000000000004</v>
      </c>
      <c r="K446" s="461">
        <v>0</v>
      </c>
      <c r="L446" s="461">
        <v>2066.3000000000002</v>
      </c>
      <c r="M446" s="461">
        <v>2066.3000000000002</v>
      </c>
      <c r="N446" s="461">
        <v>0</v>
      </c>
      <c r="O446" s="461">
        <v>0</v>
      </c>
      <c r="P446" s="461">
        <v>0</v>
      </c>
      <c r="Q446" s="461">
        <v>0</v>
      </c>
      <c r="R446" s="461">
        <v>0</v>
      </c>
      <c r="S446" s="461">
        <v>0</v>
      </c>
      <c r="T446" s="461">
        <v>0</v>
      </c>
      <c r="U446" s="461">
        <v>0</v>
      </c>
      <c r="V446" s="461">
        <v>0</v>
      </c>
    </row>
    <row r="447" spans="1:22" s="455" customFormat="1" hidden="1">
      <c r="A447" s="455" t="str">
        <f t="shared" si="12"/>
        <v>11359151001100</v>
      </c>
      <c r="B447" s="455">
        <f>VLOOKUP(LEFT($C$3:$C$2600,3),Table!$D$2:$E$88,2,FALSE)</f>
        <v>0</v>
      </c>
      <c r="C447" s="455" t="str">
        <f t="shared" si="13"/>
        <v>9151001100</v>
      </c>
      <c r="D447" s="455" t="e">
        <f>VLOOKUP(G447,Table!$G$3:$H$21,2,FALSE)</f>
        <v>#N/A</v>
      </c>
      <c r="E447" s="452" t="s">
        <v>902</v>
      </c>
      <c r="F447" s="452" t="s">
        <v>1205</v>
      </c>
      <c r="G447" s="452" t="s">
        <v>1130</v>
      </c>
      <c r="H447" s="452" t="s">
        <v>1131</v>
      </c>
      <c r="I447" s="453" t="s">
        <v>844</v>
      </c>
      <c r="J447" s="453">
        <v>832.46</v>
      </c>
      <c r="K447" s="461">
        <v>0</v>
      </c>
      <c r="L447" s="461">
        <v>556.79</v>
      </c>
      <c r="M447" s="461">
        <v>318.08</v>
      </c>
      <c r="N447" s="461">
        <v>0</v>
      </c>
      <c r="O447" s="461">
        <v>0</v>
      </c>
      <c r="P447" s="461">
        <v>0</v>
      </c>
      <c r="Q447" s="461">
        <v>0</v>
      </c>
      <c r="R447" s="461">
        <v>0</v>
      </c>
      <c r="S447" s="461">
        <v>0</v>
      </c>
      <c r="T447" s="461">
        <v>0</v>
      </c>
      <c r="U447" s="461">
        <v>0</v>
      </c>
      <c r="V447" s="461">
        <v>0</v>
      </c>
    </row>
    <row r="448" spans="1:22" s="455" customFormat="1" hidden="1">
      <c r="A448" s="455" t="str">
        <f t="shared" si="12"/>
        <v>11359151001400</v>
      </c>
      <c r="B448" s="455">
        <f>VLOOKUP(LEFT($C$3:$C$2600,3),Table!$D$2:$E$88,2,FALSE)</f>
        <v>0</v>
      </c>
      <c r="C448" s="455" t="str">
        <f t="shared" si="13"/>
        <v>9151001400</v>
      </c>
      <c r="D448" s="455" t="e">
        <f>VLOOKUP(G448,Table!$G$3:$H$21,2,FALSE)</f>
        <v>#N/A</v>
      </c>
      <c r="E448" s="452" t="s">
        <v>902</v>
      </c>
      <c r="F448" s="452" t="s">
        <v>1205</v>
      </c>
      <c r="G448" s="452" t="s">
        <v>1133</v>
      </c>
      <c r="H448" s="452" t="s">
        <v>998</v>
      </c>
      <c r="I448" s="453" t="s">
        <v>844</v>
      </c>
      <c r="J448" s="453">
        <v>636</v>
      </c>
      <c r="K448" s="461">
        <v>0</v>
      </c>
      <c r="L448" s="461">
        <v>318</v>
      </c>
      <c r="M448" s="461">
        <v>318</v>
      </c>
      <c r="N448" s="461">
        <v>0</v>
      </c>
      <c r="O448" s="461">
        <v>0</v>
      </c>
      <c r="P448" s="461">
        <v>0</v>
      </c>
      <c r="Q448" s="461">
        <v>0</v>
      </c>
      <c r="R448" s="461">
        <v>0</v>
      </c>
      <c r="S448" s="461">
        <v>0</v>
      </c>
      <c r="T448" s="461">
        <v>0</v>
      </c>
      <c r="U448" s="461">
        <v>0</v>
      </c>
      <c r="V448" s="461">
        <v>0</v>
      </c>
    </row>
    <row r="449" spans="1:22" s="455" customFormat="1" hidden="1">
      <c r="A449" s="455" t="str">
        <f t="shared" si="12"/>
        <v>11359151001410</v>
      </c>
      <c r="B449" s="455">
        <f>VLOOKUP(LEFT($C$3:$C$2600,3),Table!$D$2:$E$88,2,FALSE)</f>
        <v>0</v>
      </c>
      <c r="C449" s="455" t="str">
        <f t="shared" si="13"/>
        <v>9151001410</v>
      </c>
      <c r="D449" s="455" t="e">
        <f>VLOOKUP(G449,Table!$G$3:$H$21,2,FALSE)</f>
        <v>#N/A</v>
      </c>
      <c r="E449" s="452" t="s">
        <v>902</v>
      </c>
      <c r="F449" s="452" t="s">
        <v>1205</v>
      </c>
      <c r="G449" s="452" t="s">
        <v>1134</v>
      </c>
      <c r="H449" s="452" t="s">
        <v>1078</v>
      </c>
      <c r="I449" s="453" t="s">
        <v>844</v>
      </c>
      <c r="J449" s="453">
        <v>15</v>
      </c>
      <c r="K449" s="461">
        <v>0</v>
      </c>
      <c r="L449" s="461">
        <v>15</v>
      </c>
      <c r="M449" s="461">
        <v>0</v>
      </c>
      <c r="N449" s="461">
        <v>0</v>
      </c>
      <c r="O449" s="461">
        <v>0</v>
      </c>
      <c r="P449" s="461">
        <v>0</v>
      </c>
      <c r="Q449" s="461">
        <v>0</v>
      </c>
      <c r="R449" s="461">
        <v>0</v>
      </c>
      <c r="S449" s="461">
        <v>0</v>
      </c>
      <c r="T449" s="461">
        <v>0</v>
      </c>
      <c r="U449" s="461">
        <v>0</v>
      </c>
      <c r="V449" s="461">
        <v>0</v>
      </c>
    </row>
    <row r="450" spans="1:22" s="455" customFormat="1" hidden="1">
      <c r="A450" s="455" t="str">
        <f t="shared" si="12"/>
        <v>11359151001500</v>
      </c>
      <c r="B450" s="455">
        <f>VLOOKUP(LEFT($C$3:$C$2600,3),Table!$D$2:$E$88,2,FALSE)</f>
        <v>0</v>
      </c>
      <c r="C450" s="455" t="str">
        <f t="shared" si="13"/>
        <v>9151001500</v>
      </c>
      <c r="D450" s="455" t="e">
        <f>VLOOKUP(G450,Table!$G$3:$H$21,2,FALSE)</f>
        <v>#N/A</v>
      </c>
      <c r="E450" s="452" t="s">
        <v>902</v>
      </c>
      <c r="F450" s="452" t="s">
        <v>1205</v>
      </c>
      <c r="G450" s="452" t="s">
        <v>1135</v>
      </c>
      <c r="H450" s="452" t="s">
        <v>1136</v>
      </c>
      <c r="I450" s="453" t="s">
        <v>844</v>
      </c>
      <c r="J450" s="453">
        <v>87.5</v>
      </c>
      <c r="K450" s="461">
        <v>0</v>
      </c>
      <c r="L450" s="461">
        <v>46.35</v>
      </c>
      <c r="M450" s="461">
        <v>41.15</v>
      </c>
      <c r="N450" s="461">
        <v>0</v>
      </c>
      <c r="O450" s="461">
        <v>0</v>
      </c>
      <c r="P450" s="461">
        <v>0</v>
      </c>
      <c r="Q450" s="461">
        <v>0</v>
      </c>
      <c r="R450" s="461">
        <v>0</v>
      </c>
      <c r="S450" s="461">
        <v>0</v>
      </c>
      <c r="T450" s="461">
        <v>0</v>
      </c>
      <c r="U450" s="461">
        <v>0</v>
      </c>
      <c r="V450" s="461">
        <v>0</v>
      </c>
    </row>
    <row r="451" spans="1:22" s="455" customFormat="1" hidden="1">
      <c r="A451" s="455" t="str">
        <f t="shared" si="12"/>
        <v>11359151001600</v>
      </c>
      <c r="B451" s="455">
        <f>VLOOKUP(LEFT($C$3:$C$2600,3),Table!$D$2:$E$88,2,FALSE)</f>
        <v>0</v>
      </c>
      <c r="C451" s="455" t="str">
        <f t="shared" si="13"/>
        <v>9151001600</v>
      </c>
      <c r="D451" s="455" t="e">
        <f>VLOOKUP(G451,Table!$G$3:$H$21,2,FALSE)</f>
        <v>#N/A</v>
      </c>
      <c r="E451" s="452" t="s">
        <v>902</v>
      </c>
      <c r="F451" s="452" t="s">
        <v>1205</v>
      </c>
      <c r="G451" s="452" t="s">
        <v>1137</v>
      </c>
      <c r="H451" s="452" t="s">
        <v>1002</v>
      </c>
      <c r="I451" s="453" t="s">
        <v>844</v>
      </c>
      <c r="J451" s="453">
        <v>942.9</v>
      </c>
      <c r="K451" s="461">
        <v>0</v>
      </c>
      <c r="L451" s="461">
        <v>471.45</v>
      </c>
      <c r="M451" s="461">
        <v>471.45</v>
      </c>
      <c r="N451" s="461">
        <v>0</v>
      </c>
      <c r="O451" s="461">
        <v>0</v>
      </c>
      <c r="P451" s="461">
        <v>0</v>
      </c>
      <c r="Q451" s="461">
        <v>0</v>
      </c>
      <c r="R451" s="461">
        <v>0</v>
      </c>
      <c r="S451" s="461">
        <v>0</v>
      </c>
      <c r="T451" s="461">
        <v>0</v>
      </c>
      <c r="U451" s="461">
        <v>0</v>
      </c>
      <c r="V451" s="461">
        <v>0</v>
      </c>
    </row>
    <row r="452" spans="1:22" s="455" customFormat="1" hidden="1">
      <c r="A452" s="455" t="str">
        <f t="shared" ref="A452:A515" si="14">F452&amp;G452</f>
        <v>11359151001700</v>
      </c>
      <c r="B452" s="455">
        <f>VLOOKUP(LEFT($C$3:$C$2600,3),Table!$D$2:$E$88,2,FALSE)</f>
        <v>0</v>
      </c>
      <c r="C452" s="455" t="str">
        <f t="shared" ref="C452:C515" si="15">IF(ISNA(D452),G452,D452)</f>
        <v>9151001700</v>
      </c>
      <c r="D452" s="455" t="e">
        <f>VLOOKUP(G452,Table!$G$3:$H$21,2,FALSE)</f>
        <v>#N/A</v>
      </c>
      <c r="E452" s="452" t="s">
        <v>902</v>
      </c>
      <c r="F452" s="452" t="s">
        <v>1205</v>
      </c>
      <c r="G452" s="452" t="s">
        <v>1138</v>
      </c>
      <c r="H452" s="452" t="s">
        <v>1003</v>
      </c>
      <c r="I452" s="453" t="s">
        <v>844</v>
      </c>
      <c r="J452" s="453">
        <v>182.95</v>
      </c>
      <c r="K452" s="461">
        <v>0</v>
      </c>
      <c r="L452" s="461">
        <v>182.95</v>
      </c>
      <c r="M452" s="461">
        <v>3110.07</v>
      </c>
      <c r="N452" s="461">
        <v>0</v>
      </c>
      <c r="O452" s="461">
        <v>0</v>
      </c>
      <c r="P452" s="461">
        <v>0</v>
      </c>
      <c r="Q452" s="461">
        <v>0</v>
      </c>
      <c r="R452" s="461">
        <v>0</v>
      </c>
      <c r="S452" s="461">
        <v>0</v>
      </c>
      <c r="T452" s="461">
        <v>0</v>
      </c>
      <c r="U452" s="461">
        <v>0</v>
      </c>
      <c r="V452" s="461">
        <v>0</v>
      </c>
    </row>
    <row r="453" spans="1:22" s="455" customFormat="1" hidden="1">
      <c r="A453" s="455" t="str">
        <f t="shared" si="14"/>
        <v>11359151001800</v>
      </c>
      <c r="B453" s="455">
        <f>VLOOKUP(LEFT($C$3:$C$2600,3),Table!$D$2:$E$88,2,FALSE)</f>
        <v>0</v>
      </c>
      <c r="C453" s="455" t="str">
        <f t="shared" si="15"/>
        <v>9151001800</v>
      </c>
      <c r="D453" s="455" t="e">
        <f>VLOOKUP(G453,Table!$G$3:$H$21,2,FALSE)</f>
        <v>#N/A</v>
      </c>
      <c r="E453" s="452" t="s">
        <v>902</v>
      </c>
      <c r="F453" s="452" t="s">
        <v>1205</v>
      </c>
      <c r="G453" s="452" t="s">
        <v>1139</v>
      </c>
      <c r="H453" s="452" t="s">
        <v>1005</v>
      </c>
      <c r="I453" s="453" t="s">
        <v>844</v>
      </c>
      <c r="J453" s="453">
        <v>262.89999999999998</v>
      </c>
      <c r="K453" s="461">
        <v>0</v>
      </c>
      <c r="L453" s="461">
        <v>131</v>
      </c>
      <c r="M453" s="461">
        <v>131.9</v>
      </c>
      <c r="N453" s="461">
        <v>0</v>
      </c>
      <c r="O453" s="461">
        <v>0</v>
      </c>
      <c r="P453" s="461">
        <v>0</v>
      </c>
      <c r="Q453" s="461">
        <v>0</v>
      </c>
      <c r="R453" s="461">
        <v>0</v>
      </c>
      <c r="S453" s="461">
        <v>0</v>
      </c>
      <c r="T453" s="461">
        <v>0</v>
      </c>
      <c r="U453" s="461">
        <v>0</v>
      </c>
      <c r="V453" s="461">
        <v>0</v>
      </c>
    </row>
    <row r="454" spans="1:22" s="455" customFormat="1" hidden="1">
      <c r="A454" s="455" t="str">
        <f t="shared" si="14"/>
        <v>11359151001900</v>
      </c>
      <c r="B454" s="455">
        <f>VLOOKUP(LEFT($C$3:$C$2600,3),Table!$D$2:$E$88,2,FALSE)</f>
        <v>0</v>
      </c>
      <c r="C454" s="455" t="str">
        <f t="shared" si="15"/>
        <v>9151001900</v>
      </c>
      <c r="D454" s="455" t="e">
        <f>VLOOKUP(G454,Table!$G$3:$H$21,2,FALSE)</f>
        <v>#N/A</v>
      </c>
      <c r="E454" s="452" t="s">
        <v>902</v>
      </c>
      <c r="F454" s="452" t="s">
        <v>1205</v>
      </c>
      <c r="G454" s="452" t="s">
        <v>1140</v>
      </c>
      <c r="H454" s="452" t="s">
        <v>1007</v>
      </c>
      <c r="I454" s="453" t="s">
        <v>844</v>
      </c>
      <c r="J454" s="453">
        <v>41.32</v>
      </c>
      <c r="K454" s="461">
        <v>0</v>
      </c>
      <c r="L454" s="461">
        <v>20.66</v>
      </c>
      <c r="M454" s="461">
        <v>20.66</v>
      </c>
      <c r="N454" s="461">
        <v>0</v>
      </c>
      <c r="O454" s="461">
        <v>0</v>
      </c>
      <c r="P454" s="461">
        <v>0</v>
      </c>
      <c r="Q454" s="461">
        <v>0</v>
      </c>
      <c r="R454" s="461">
        <v>0</v>
      </c>
      <c r="S454" s="461">
        <v>0</v>
      </c>
      <c r="T454" s="461">
        <v>0</v>
      </c>
      <c r="U454" s="461">
        <v>0</v>
      </c>
      <c r="V454" s="461">
        <v>0</v>
      </c>
    </row>
    <row r="455" spans="1:22" s="455" customFormat="1" hidden="1">
      <c r="A455" s="455" t="str">
        <f t="shared" si="14"/>
        <v>11359151501400</v>
      </c>
      <c r="B455" s="455">
        <f>VLOOKUP(LEFT($C$3:$C$2600,3),Table!$D$2:$E$88,2,FALSE)</f>
        <v>0</v>
      </c>
      <c r="C455" s="455" t="str">
        <f t="shared" si="15"/>
        <v>9151501400</v>
      </c>
      <c r="D455" s="455" t="e">
        <f>VLOOKUP(G455,Table!$G$3:$H$21,2,FALSE)</f>
        <v>#N/A</v>
      </c>
      <c r="E455" s="452" t="s">
        <v>902</v>
      </c>
      <c r="F455" s="452" t="s">
        <v>1205</v>
      </c>
      <c r="G455" s="452" t="s">
        <v>1011</v>
      </c>
      <c r="H455" s="452" t="s">
        <v>1012</v>
      </c>
      <c r="I455" s="453" t="s">
        <v>844</v>
      </c>
      <c r="J455" s="453">
        <v>153.80000000000001</v>
      </c>
      <c r="K455" s="461">
        <v>0</v>
      </c>
      <c r="L455" s="461">
        <v>0</v>
      </c>
      <c r="M455" s="461">
        <v>153.80000000000001</v>
      </c>
      <c r="N455" s="461">
        <v>0</v>
      </c>
      <c r="O455" s="461">
        <v>0</v>
      </c>
      <c r="P455" s="461">
        <v>0</v>
      </c>
      <c r="Q455" s="461">
        <v>0</v>
      </c>
      <c r="R455" s="461">
        <v>0</v>
      </c>
      <c r="S455" s="461">
        <v>0</v>
      </c>
      <c r="T455" s="461">
        <v>0</v>
      </c>
      <c r="U455" s="461">
        <v>0</v>
      </c>
      <c r="V455" s="461">
        <v>0</v>
      </c>
    </row>
    <row r="456" spans="1:22" s="455" customFormat="1" hidden="1">
      <c r="A456" s="455" t="str">
        <f t="shared" si="14"/>
        <v>11359151502000</v>
      </c>
      <c r="B456" s="455">
        <f>VLOOKUP(LEFT($C$3:$C$2600,3),Table!$D$2:$E$88,2,FALSE)</f>
        <v>0</v>
      </c>
      <c r="C456" s="455" t="str">
        <f t="shared" si="15"/>
        <v>9151502000</v>
      </c>
      <c r="D456" s="455" t="e">
        <f>VLOOKUP(G456,Table!$G$3:$H$21,2,FALSE)</f>
        <v>#N/A</v>
      </c>
      <c r="E456" s="452" t="s">
        <v>902</v>
      </c>
      <c r="F456" s="452" t="s">
        <v>1205</v>
      </c>
      <c r="G456" s="452" t="s">
        <v>1206</v>
      </c>
      <c r="H456" s="452" t="s">
        <v>1207</v>
      </c>
      <c r="I456" s="453" t="s">
        <v>844</v>
      </c>
      <c r="J456" s="453">
        <v>3245</v>
      </c>
      <c r="K456" s="461">
        <v>0</v>
      </c>
      <c r="L456" s="461">
        <v>0</v>
      </c>
      <c r="M456" s="461">
        <v>3245</v>
      </c>
      <c r="N456" s="461">
        <v>0</v>
      </c>
      <c r="O456" s="461">
        <v>0</v>
      </c>
      <c r="P456" s="461">
        <v>0</v>
      </c>
      <c r="Q456" s="461">
        <v>0</v>
      </c>
      <c r="R456" s="461">
        <v>0</v>
      </c>
      <c r="S456" s="461">
        <v>0</v>
      </c>
      <c r="T456" s="461">
        <v>0</v>
      </c>
      <c r="U456" s="461">
        <v>0</v>
      </c>
      <c r="V456" s="461">
        <v>0</v>
      </c>
    </row>
    <row r="457" spans="1:22" s="455" customFormat="1" hidden="1">
      <c r="A457" s="455" t="str">
        <f t="shared" si="14"/>
        <v>11359151502200</v>
      </c>
      <c r="B457" s="455">
        <f>VLOOKUP(LEFT($C$3:$C$2600,3),Table!$D$2:$E$88,2,FALSE)</f>
        <v>0</v>
      </c>
      <c r="C457" s="455" t="str">
        <f t="shared" si="15"/>
        <v>9151502200</v>
      </c>
      <c r="D457" s="455" t="e">
        <f>VLOOKUP(G457,Table!$G$3:$H$21,2,FALSE)</f>
        <v>#N/A</v>
      </c>
      <c r="E457" s="452" t="s">
        <v>902</v>
      </c>
      <c r="F457" s="452" t="s">
        <v>1205</v>
      </c>
      <c r="G457" s="452" t="s">
        <v>1208</v>
      </c>
      <c r="H457" s="452" t="s">
        <v>1209</v>
      </c>
      <c r="I457" s="453" t="s">
        <v>844</v>
      </c>
      <c r="J457" s="453">
        <v>621.9</v>
      </c>
      <c r="K457" s="461">
        <v>0</v>
      </c>
      <c r="L457" s="461">
        <v>300</v>
      </c>
      <c r="M457" s="461">
        <v>321.89999999999998</v>
      </c>
      <c r="N457" s="461">
        <v>0</v>
      </c>
      <c r="O457" s="461">
        <v>0</v>
      </c>
      <c r="P457" s="461">
        <v>0</v>
      </c>
      <c r="Q457" s="461">
        <v>0</v>
      </c>
      <c r="R457" s="461">
        <v>0</v>
      </c>
      <c r="S457" s="461">
        <v>0</v>
      </c>
      <c r="T457" s="461">
        <v>0</v>
      </c>
      <c r="U457" s="461">
        <v>0</v>
      </c>
      <c r="V457" s="461">
        <v>0</v>
      </c>
    </row>
    <row r="458" spans="1:22" s="455" customFormat="1" hidden="1">
      <c r="A458" s="455" t="str">
        <f t="shared" si="14"/>
        <v>11359151601001</v>
      </c>
      <c r="B458" s="455">
        <f>VLOOKUP(LEFT($C$3:$C$2600,3),Table!$D$2:$E$88,2,FALSE)</f>
        <v>0</v>
      </c>
      <c r="C458" s="455" t="str">
        <f t="shared" si="15"/>
        <v>9151601001</v>
      </c>
      <c r="D458" s="455" t="e">
        <f>VLOOKUP(G458,Table!$G$3:$H$21,2,FALSE)</f>
        <v>#N/A</v>
      </c>
      <c r="E458" s="452" t="s">
        <v>902</v>
      </c>
      <c r="F458" s="452" t="s">
        <v>1205</v>
      </c>
      <c r="G458" s="452" t="s">
        <v>1015</v>
      </c>
      <c r="H458" s="452" t="s">
        <v>1016</v>
      </c>
      <c r="I458" s="453" t="s">
        <v>844</v>
      </c>
      <c r="J458" s="453">
        <v>201</v>
      </c>
      <c r="K458" s="461">
        <v>0</v>
      </c>
      <c r="L458" s="461">
        <v>0</v>
      </c>
      <c r="M458" s="461">
        <v>201</v>
      </c>
      <c r="N458" s="461">
        <v>0</v>
      </c>
      <c r="O458" s="461">
        <v>0</v>
      </c>
      <c r="P458" s="461">
        <v>0</v>
      </c>
      <c r="Q458" s="461">
        <v>0</v>
      </c>
      <c r="R458" s="461">
        <v>0</v>
      </c>
      <c r="S458" s="461">
        <v>0</v>
      </c>
      <c r="T458" s="461">
        <v>0</v>
      </c>
      <c r="U458" s="461">
        <v>0</v>
      </c>
      <c r="V458" s="461">
        <v>0</v>
      </c>
    </row>
    <row r="459" spans="1:22" s="455" customFormat="1" hidden="1">
      <c r="A459" s="455" t="str">
        <f t="shared" si="14"/>
        <v>11359151602001</v>
      </c>
      <c r="B459" s="455">
        <f>VLOOKUP(LEFT($C$3:$C$2600,3),Table!$D$2:$E$88,2,FALSE)</f>
        <v>0</v>
      </c>
      <c r="C459" s="455" t="str">
        <f t="shared" si="15"/>
        <v>9151602001</v>
      </c>
      <c r="D459" s="455" t="e">
        <f>VLOOKUP(G459,Table!$G$3:$H$21,2,FALSE)</f>
        <v>#N/A</v>
      </c>
      <c r="E459" s="452" t="s">
        <v>902</v>
      </c>
      <c r="F459" s="452" t="s">
        <v>1205</v>
      </c>
      <c r="G459" s="452" t="s">
        <v>2533</v>
      </c>
      <c r="H459" s="452" t="s">
        <v>2534</v>
      </c>
      <c r="I459" s="453" t="s">
        <v>844</v>
      </c>
      <c r="J459" s="453">
        <v>669.3</v>
      </c>
      <c r="K459" s="461">
        <v>0</v>
      </c>
      <c r="L459" s="461">
        <v>0</v>
      </c>
      <c r="M459" s="461">
        <v>669.3</v>
      </c>
      <c r="N459" s="461">
        <v>0</v>
      </c>
      <c r="O459" s="461">
        <v>0</v>
      </c>
      <c r="P459" s="461">
        <v>0</v>
      </c>
      <c r="Q459" s="461">
        <v>0</v>
      </c>
      <c r="R459" s="461">
        <v>0</v>
      </c>
      <c r="S459" s="461">
        <v>0</v>
      </c>
      <c r="T459" s="461">
        <v>0</v>
      </c>
      <c r="U459" s="461">
        <v>0</v>
      </c>
      <c r="V459" s="461">
        <v>0</v>
      </c>
    </row>
    <row r="460" spans="1:22" s="455" customFormat="1" hidden="1">
      <c r="A460" s="455" t="str">
        <f t="shared" si="14"/>
        <v>11359151602100</v>
      </c>
      <c r="B460" s="455">
        <f>VLOOKUP(LEFT($C$3:$C$2600,3),Table!$D$2:$E$88,2,FALSE)</f>
        <v>0</v>
      </c>
      <c r="C460" s="455" t="str">
        <f t="shared" si="15"/>
        <v>9151602100</v>
      </c>
      <c r="D460" s="455" t="e">
        <f>VLOOKUP(G460,Table!$G$3:$H$21,2,FALSE)</f>
        <v>#N/A</v>
      </c>
      <c r="E460" s="452" t="s">
        <v>902</v>
      </c>
      <c r="F460" s="452" t="s">
        <v>1205</v>
      </c>
      <c r="G460" s="452" t="s">
        <v>1210</v>
      </c>
      <c r="H460" s="452" t="s">
        <v>1211</v>
      </c>
      <c r="I460" s="453" t="s">
        <v>844</v>
      </c>
      <c r="J460" s="453">
        <v>1875.48</v>
      </c>
      <c r="K460" s="461">
        <v>0</v>
      </c>
      <c r="L460" s="461">
        <v>0</v>
      </c>
      <c r="M460" s="461">
        <v>1875.48</v>
      </c>
      <c r="N460" s="461">
        <v>0</v>
      </c>
      <c r="O460" s="461">
        <v>0</v>
      </c>
      <c r="P460" s="461">
        <v>0</v>
      </c>
      <c r="Q460" s="461">
        <v>0</v>
      </c>
      <c r="R460" s="461">
        <v>0</v>
      </c>
      <c r="S460" s="461">
        <v>0</v>
      </c>
      <c r="T460" s="461">
        <v>0</v>
      </c>
      <c r="U460" s="461">
        <v>0</v>
      </c>
      <c r="V460" s="461">
        <v>0</v>
      </c>
    </row>
    <row r="461" spans="1:22" s="455" customFormat="1" hidden="1">
      <c r="A461" s="455" t="str">
        <f t="shared" si="14"/>
        <v>11359152010211</v>
      </c>
      <c r="B461" s="455">
        <f>VLOOKUP(LEFT($C$3:$C$2600,3),Table!$D$2:$E$88,2,FALSE)</f>
        <v>0</v>
      </c>
      <c r="C461" s="455" t="str">
        <f t="shared" si="15"/>
        <v>9152010211</v>
      </c>
      <c r="D461" s="455" t="e">
        <f>VLOOKUP(G461,Table!$G$3:$H$21,2,FALSE)</f>
        <v>#N/A</v>
      </c>
      <c r="E461" s="452" t="s">
        <v>902</v>
      </c>
      <c r="F461" s="452" t="s">
        <v>1205</v>
      </c>
      <c r="G461" s="452" t="s">
        <v>1021</v>
      </c>
      <c r="H461" s="452" t="s">
        <v>1022</v>
      </c>
      <c r="I461" s="453" t="s">
        <v>844</v>
      </c>
      <c r="J461" s="453">
        <v>34165.67</v>
      </c>
      <c r="K461" s="461">
        <v>6596.49</v>
      </c>
      <c r="L461" s="461">
        <v>21387.69</v>
      </c>
      <c r="M461" s="461">
        <v>6621.99</v>
      </c>
      <c r="N461" s="461">
        <v>0</v>
      </c>
      <c r="O461" s="461">
        <v>0</v>
      </c>
      <c r="P461" s="461">
        <v>0</v>
      </c>
      <c r="Q461" s="461">
        <v>0</v>
      </c>
      <c r="R461" s="461">
        <v>0</v>
      </c>
      <c r="S461" s="461">
        <v>0</v>
      </c>
      <c r="T461" s="461">
        <v>0</v>
      </c>
      <c r="U461" s="461">
        <v>0</v>
      </c>
      <c r="V461" s="461">
        <v>0</v>
      </c>
    </row>
    <row r="462" spans="1:22" s="455" customFormat="1" hidden="1">
      <c r="A462" s="455" t="str">
        <f t="shared" si="14"/>
        <v>11359152010311</v>
      </c>
      <c r="B462" s="455">
        <f>VLOOKUP(LEFT($C$3:$C$2600,3),Table!$D$2:$E$88,2,FALSE)</f>
        <v>0</v>
      </c>
      <c r="C462" s="455" t="str">
        <f t="shared" si="15"/>
        <v>9152010311</v>
      </c>
      <c r="D462" s="455" t="e">
        <f>VLOOKUP(G462,Table!$G$3:$H$21,2,FALSE)</f>
        <v>#N/A</v>
      </c>
      <c r="E462" s="452" t="s">
        <v>902</v>
      </c>
      <c r="F462" s="452" t="s">
        <v>1205</v>
      </c>
      <c r="G462" s="452" t="s">
        <v>1172</v>
      </c>
      <c r="H462" s="452" t="s">
        <v>1173</v>
      </c>
      <c r="I462" s="453" t="s">
        <v>844</v>
      </c>
      <c r="J462" s="453">
        <v>18734.099999999999</v>
      </c>
      <c r="K462" s="461">
        <v>16007.1</v>
      </c>
      <c r="L462" s="461">
        <v>1872</v>
      </c>
      <c r="M462" s="461">
        <v>210</v>
      </c>
      <c r="N462" s="461">
        <v>0</v>
      </c>
      <c r="O462" s="461">
        <v>0</v>
      </c>
      <c r="P462" s="461">
        <v>0</v>
      </c>
      <c r="Q462" s="461">
        <v>0</v>
      </c>
      <c r="R462" s="461">
        <v>0</v>
      </c>
      <c r="S462" s="461">
        <v>0</v>
      </c>
      <c r="T462" s="461">
        <v>0</v>
      </c>
      <c r="U462" s="461">
        <v>0</v>
      </c>
      <c r="V462" s="461">
        <v>0</v>
      </c>
    </row>
    <row r="463" spans="1:22" s="455" customFormat="1" hidden="1">
      <c r="A463" s="455" t="str">
        <f t="shared" si="14"/>
        <v>11359152014111</v>
      </c>
      <c r="B463" s="455">
        <f>VLOOKUP(LEFT($C$3:$C$2600,3),Table!$D$2:$E$88,2,FALSE)</f>
        <v>0</v>
      </c>
      <c r="C463" s="455" t="str">
        <f t="shared" si="15"/>
        <v>9152014111</v>
      </c>
      <c r="D463" s="455" t="e">
        <f>VLOOKUP(G463,Table!$G$3:$H$21,2,FALSE)</f>
        <v>#N/A</v>
      </c>
      <c r="E463" s="452" t="s">
        <v>902</v>
      </c>
      <c r="F463" s="452" t="s">
        <v>1205</v>
      </c>
      <c r="G463" s="452" t="s">
        <v>1095</v>
      </c>
      <c r="H463" s="452" t="s">
        <v>1096</v>
      </c>
      <c r="I463" s="453" t="s">
        <v>844</v>
      </c>
      <c r="J463" s="453">
        <v>1448</v>
      </c>
      <c r="K463" s="461">
        <v>0</v>
      </c>
      <c r="L463" s="461">
        <v>520</v>
      </c>
      <c r="M463" s="461">
        <v>1108</v>
      </c>
      <c r="N463" s="461">
        <v>0</v>
      </c>
      <c r="O463" s="461">
        <v>0</v>
      </c>
      <c r="P463" s="461">
        <v>0</v>
      </c>
      <c r="Q463" s="461">
        <v>0</v>
      </c>
      <c r="R463" s="461">
        <v>0</v>
      </c>
      <c r="S463" s="461">
        <v>0</v>
      </c>
      <c r="T463" s="461">
        <v>0</v>
      </c>
      <c r="U463" s="461">
        <v>0</v>
      </c>
      <c r="V463" s="461">
        <v>0</v>
      </c>
    </row>
    <row r="464" spans="1:22" s="455" customFormat="1" hidden="1">
      <c r="A464" s="455" t="str">
        <f t="shared" si="14"/>
        <v>11359152014311</v>
      </c>
      <c r="B464" s="455">
        <f>VLOOKUP(LEFT($C$3:$C$2600,3),Table!$D$2:$E$88,2,FALSE)</f>
        <v>0</v>
      </c>
      <c r="C464" s="455" t="str">
        <f t="shared" si="15"/>
        <v>9152014311</v>
      </c>
      <c r="D464" s="455" t="e">
        <f>VLOOKUP(G464,Table!$G$3:$H$21,2,FALSE)</f>
        <v>#N/A</v>
      </c>
      <c r="E464" s="452" t="s">
        <v>902</v>
      </c>
      <c r="F464" s="452" t="s">
        <v>1205</v>
      </c>
      <c r="G464" s="452" t="s">
        <v>1174</v>
      </c>
      <c r="H464" s="452" t="s">
        <v>1175</v>
      </c>
      <c r="I464" s="453" t="s">
        <v>844</v>
      </c>
      <c r="J464" s="453">
        <v>6302.8</v>
      </c>
      <c r="K464" s="461">
        <v>1094</v>
      </c>
      <c r="L464" s="461">
        <v>2571</v>
      </c>
      <c r="M464" s="461">
        <v>2813.5</v>
      </c>
      <c r="N464" s="461">
        <v>0</v>
      </c>
      <c r="O464" s="461">
        <v>0</v>
      </c>
      <c r="P464" s="461">
        <v>0</v>
      </c>
      <c r="Q464" s="461">
        <v>0</v>
      </c>
      <c r="R464" s="461">
        <v>0</v>
      </c>
      <c r="S464" s="461">
        <v>0</v>
      </c>
      <c r="T464" s="461">
        <v>0</v>
      </c>
      <c r="U464" s="461">
        <v>0</v>
      </c>
      <c r="V464" s="461">
        <v>0</v>
      </c>
    </row>
    <row r="465" spans="1:22" s="455" customFormat="1" hidden="1">
      <c r="A465" s="455" t="str">
        <f t="shared" si="14"/>
        <v>11359152020111</v>
      </c>
      <c r="B465" s="455">
        <f>VLOOKUP(LEFT($C$3:$C$2600,3),Table!$D$2:$E$88,2,FALSE)</f>
        <v>0</v>
      </c>
      <c r="C465" s="455" t="str">
        <f t="shared" si="15"/>
        <v>9152020111</v>
      </c>
      <c r="D465" s="455" t="e">
        <f>VLOOKUP(G465,Table!$G$3:$H$21,2,FALSE)</f>
        <v>#N/A</v>
      </c>
      <c r="E465" s="452" t="s">
        <v>902</v>
      </c>
      <c r="F465" s="452" t="s">
        <v>1205</v>
      </c>
      <c r="G465" s="452" t="s">
        <v>1176</v>
      </c>
      <c r="H465" s="452" t="s">
        <v>1177</v>
      </c>
      <c r="I465" s="453" t="s">
        <v>844</v>
      </c>
      <c r="J465" s="453">
        <v>7243.2</v>
      </c>
      <c r="K465" s="461">
        <v>1459.4</v>
      </c>
      <c r="L465" s="461">
        <v>2375.8000000000002</v>
      </c>
      <c r="M465" s="461">
        <v>3742</v>
      </c>
      <c r="N465" s="461">
        <v>0</v>
      </c>
      <c r="O465" s="461">
        <v>0</v>
      </c>
      <c r="P465" s="461">
        <v>0</v>
      </c>
      <c r="Q465" s="461">
        <v>0</v>
      </c>
      <c r="R465" s="461">
        <v>0</v>
      </c>
      <c r="S465" s="461">
        <v>0</v>
      </c>
      <c r="T465" s="461">
        <v>0</v>
      </c>
      <c r="U465" s="461">
        <v>0</v>
      </c>
      <c r="V465" s="461">
        <v>0</v>
      </c>
    </row>
    <row r="466" spans="1:22" s="455" customFormat="1" hidden="1">
      <c r="A466" s="455" t="str">
        <f t="shared" si="14"/>
        <v>11359152020171</v>
      </c>
      <c r="B466" s="455">
        <f>VLOOKUP(LEFT($C$3:$C$2600,3),Table!$D$2:$E$88,2,FALSE)</f>
        <v>0</v>
      </c>
      <c r="C466" s="455" t="str">
        <f t="shared" si="15"/>
        <v>9152020171</v>
      </c>
      <c r="D466" s="455" t="e">
        <f>VLOOKUP(G466,Table!$G$3:$H$21,2,FALSE)</f>
        <v>#N/A</v>
      </c>
      <c r="E466" s="452" t="s">
        <v>902</v>
      </c>
      <c r="F466" s="452" t="s">
        <v>1205</v>
      </c>
      <c r="G466" s="452" t="s">
        <v>1178</v>
      </c>
      <c r="H466" s="452" t="s">
        <v>1179</v>
      </c>
      <c r="I466" s="453" t="s">
        <v>844</v>
      </c>
      <c r="J466" s="453">
        <v>41328</v>
      </c>
      <c r="K466" s="461">
        <v>39440</v>
      </c>
      <c r="L466" s="461">
        <v>890</v>
      </c>
      <c r="M466" s="461">
        <v>998</v>
      </c>
      <c r="N466" s="461">
        <v>0</v>
      </c>
      <c r="O466" s="461">
        <v>0</v>
      </c>
      <c r="P466" s="461">
        <v>0</v>
      </c>
      <c r="Q466" s="461">
        <v>0</v>
      </c>
      <c r="R466" s="461">
        <v>0</v>
      </c>
      <c r="S466" s="461">
        <v>0</v>
      </c>
      <c r="T466" s="461">
        <v>0</v>
      </c>
      <c r="U466" s="461">
        <v>0</v>
      </c>
      <c r="V466" s="461">
        <v>0</v>
      </c>
    </row>
    <row r="467" spans="1:22" s="455" customFormat="1" hidden="1">
      <c r="A467" s="455" t="str">
        <f t="shared" si="14"/>
        <v>11359152020212</v>
      </c>
      <c r="B467" s="455">
        <f>VLOOKUP(LEFT($C$3:$C$2600,3),Table!$D$2:$E$88,2,FALSE)</f>
        <v>0</v>
      </c>
      <c r="C467" s="455" t="str">
        <f t="shared" si="15"/>
        <v>9152020212</v>
      </c>
      <c r="D467" s="455" t="e">
        <f>VLOOKUP(G467,Table!$G$3:$H$21,2,FALSE)</f>
        <v>#N/A</v>
      </c>
      <c r="E467" s="452" t="s">
        <v>902</v>
      </c>
      <c r="F467" s="452" t="s">
        <v>1205</v>
      </c>
      <c r="G467" s="452" t="s">
        <v>1023</v>
      </c>
      <c r="H467" s="452" t="s">
        <v>1024</v>
      </c>
      <c r="I467" s="453" t="s">
        <v>844</v>
      </c>
      <c r="J467" s="453">
        <v>22190</v>
      </c>
      <c r="K467" s="461">
        <v>3480</v>
      </c>
      <c r="L467" s="461">
        <v>-34</v>
      </c>
      <c r="M467" s="461">
        <v>21628</v>
      </c>
      <c r="N467" s="461">
        <v>0</v>
      </c>
      <c r="O467" s="461">
        <v>0</v>
      </c>
      <c r="P467" s="461">
        <v>0</v>
      </c>
      <c r="Q467" s="461">
        <v>0</v>
      </c>
      <c r="R467" s="461">
        <v>0</v>
      </c>
      <c r="S467" s="461">
        <v>0</v>
      </c>
      <c r="T467" s="461">
        <v>0</v>
      </c>
      <c r="U467" s="461">
        <v>0</v>
      </c>
      <c r="V467" s="461">
        <v>0</v>
      </c>
    </row>
    <row r="468" spans="1:22" s="455" customFormat="1" hidden="1">
      <c r="A468" s="455" t="str">
        <f t="shared" si="14"/>
        <v>11359152023011</v>
      </c>
      <c r="B468" s="455">
        <f>VLOOKUP(LEFT($C$3:$C$2600,3),Table!$D$2:$E$88,2,FALSE)</f>
        <v>0</v>
      </c>
      <c r="C468" s="455" t="str">
        <f t="shared" si="15"/>
        <v>9152023011</v>
      </c>
      <c r="D468" s="455" t="e">
        <f>VLOOKUP(G468,Table!$G$3:$H$21,2,FALSE)</f>
        <v>#N/A</v>
      </c>
      <c r="E468" s="452" t="s">
        <v>902</v>
      </c>
      <c r="F468" s="452" t="s">
        <v>1205</v>
      </c>
      <c r="G468" s="452" t="s">
        <v>1027</v>
      </c>
      <c r="H468" s="452" t="s">
        <v>1028</v>
      </c>
      <c r="I468" s="453" t="s">
        <v>844</v>
      </c>
      <c r="J468" s="453">
        <v>900</v>
      </c>
      <c r="K468" s="461">
        <v>0</v>
      </c>
      <c r="L468" s="461">
        <v>0</v>
      </c>
      <c r="M468" s="461">
        <v>1160</v>
      </c>
      <c r="N468" s="461">
        <v>0</v>
      </c>
      <c r="O468" s="461">
        <v>0</v>
      </c>
      <c r="P468" s="461">
        <v>0</v>
      </c>
      <c r="Q468" s="461">
        <v>0</v>
      </c>
      <c r="R468" s="461">
        <v>0</v>
      </c>
      <c r="S468" s="461">
        <v>0</v>
      </c>
      <c r="T468" s="461">
        <v>0</v>
      </c>
      <c r="U468" s="461">
        <v>0</v>
      </c>
      <c r="V468" s="461">
        <v>0</v>
      </c>
    </row>
    <row r="469" spans="1:22" s="455" customFormat="1" hidden="1">
      <c r="A469" s="455" t="str">
        <f t="shared" si="14"/>
        <v>11359152023111</v>
      </c>
      <c r="B469" s="455">
        <f>VLOOKUP(LEFT($C$3:$C$2600,3),Table!$D$2:$E$88,2,FALSE)</f>
        <v>0</v>
      </c>
      <c r="C469" s="455" t="str">
        <f t="shared" si="15"/>
        <v>9152023111</v>
      </c>
      <c r="D469" s="455" t="e">
        <f>VLOOKUP(G469,Table!$G$3:$H$21,2,FALSE)</f>
        <v>#N/A</v>
      </c>
      <c r="E469" s="452" t="s">
        <v>902</v>
      </c>
      <c r="F469" s="452" t="s">
        <v>1205</v>
      </c>
      <c r="G469" s="452" t="s">
        <v>1182</v>
      </c>
      <c r="H469" s="452" t="s">
        <v>1183</v>
      </c>
      <c r="I469" s="453" t="s">
        <v>844</v>
      </c>
      <c r="J469" s="453">
        <v>7614.81</v>
      </c>
      <c r="K469" s="461">
        <v>0</v>
      </c>
      <c r="L469" s="461">
        <v>4488.3999999999996</v>
      </c>
      <c r="M469" s="461">
        <v>3586.41</v>
      </c>
      <c r="N469" s="461">
        <v>0</v>
      </c>
      <c r="O469" s="461">
        <v>0</v>
      </c>
      <c r="P469" s="461">
        <v>0</v>
      </c>
      <c r="Q469" s="461">
        <v>0</v>
      </c>
      <c r="R469" s="461">
        <v>0</v>
      </c>
      <c r="S469" s="461">
        <v>0</v>
      </c>
      <c r="T469" s="461">
        <v>0</v>
      </c>
      <c r="U469" s="461">
        <v>0</v>
      </c>
      <c r="V469" s="461">
        <v>0</v>
      </c>
    </row>
    <row r="470" spans="1:22" s="455" customFormat="1" hidden="1">
      <c r="A470" s="455" t="str">
        <f t="shared" si="14"/>
        <v>11359152050011</v>
      </c>
      <c r="B470" s="455">
        <f>VLOOKUP(LEFT($C$3:$C$2600,3),Table!$D$2:$E$88,2,FALSE)</f>
        <v>0</v>
      </c>
      <c r="C470" s="455" t="str">
        <f t="shared" si="15"/>
        <v>9152050011</v>
      </c>
      <c r="D470" s="455" t="e">
        <f>VLOOKUP(G470,Table!$G$3:$H$21,2,FALSE)</f>
        <v>#N/A</v>
      </c>
      <c r="E470" s="452" t="s">
        <v>902</v>
      </c>
      <c r="F470" s="452" t="s">
        <v>1205</v>
      </c>
      <c r="G470" s="452" t="s">
        <v>1031</v>
      </c>
      <c r="H470" s="452" t="s">
        <v>1032</v>
      </c>
      <c r="I470" s="453" t="s">
        <v>844</v>
      </c>
      <c r="J470" s="453">
        <v>1988</v>
      </c>
      <c r="K470" s="461">
        <v>48</v>
      </c>
      <c r="L470" s="461">
        <v>1940</v>
      </c>
      <c r="M470" s="461">
        <v>0</v>
      </c>
      <c r="N470" s="461">
        <v>0</v>
      </c>
      <c r="O470" s="461">
        <v>0</v>
      </c>
      <c r="P470" s="461">
        <v>0</v>
      </c>
      <c r="Q470" s="461">
        <v>0</v>
      </c>
      <c r="R470" s="461">
        <v>0</v>
      </c>
      <c r="S470" s="461">
        <v>0</v>
      </c>
      <c r="T470" s="461">
        <v>0</v>
      </c>
      <c r="U470" s="461">
        <v>0</v>
      </c>
      <c r="V470" s="461">
        <v>0</v>
      </c>
    </row>
    <row r="471" spans="1:22" s="455" customFormat="1" hidden="1">
      <c r="A471" s="455" t="str">
        <f t="shared" si="14"/>
        <v>11359152050021</v>
      </c>
      <c r="B471" s="455">
        <f>VLOOKUP(LEFT($C$3:$C$2600,3),Table!$D$2:$E$88,2,FALSE)</f>
        <v>0</v>
      </c>
      <c r="C471" s="455" t="str">
        <f t="shared" si="15"/>
        <v>9152050021</v>
      </c>
      <c r="D471" s="455" t="e">
        <f>VLOOKUP(G471,Table!$G$3:$H$21,2,FALSE)</f>
        <v>#N/A</v>
      </c>
      <c r="E471" s="452" t="s">
        <v>902</v>
      </c>
      <c r="F471" s="452" t="s">
        <v>1205</v>
      </c>
      <c r="G471" s="452" t="s">
        <v>1158</v>
      </c>
      <c r="H471" s="452" t="s">
        <v>1159</v>
      </c>
      <c r="I471" s="453" t="s">
        <v>844</v>
      </c>
      <c r="J471" s="453">
        <v>195</v>
      </c>
      <c r="K471" s="461">
        <v>195</v>
      </c>
      <c r="L471" s="461">
        <v>0</v>
      </c>
      <c r="M471" s="461">
        <v>0</v>
      </c>
      <c r="N471" s="461">
        <v>0</v>
      </c>
      <c r="O471" s="461">
        <v>0</v>
      </c>
      <c r="P471" s="461">
        <v>0</v>
      </c>
      <c r="Q471" s="461">
        <v>0</v>
      </c>
      <c r="R471" s="461">
        <v>0</v>
      </c>
      <c r="S471" s="461">
        <v>0</v>
      </c>
      <c r="T471" s="461">
        <v>0</v>
      </c>
      <c r="U471" s="461">
        <v>0</v>
      </c>
      <c r="V471" s="461">
        <v>0</v>
      </c>
    </row>
    <row r="472" spans="1:22" s="455" customFormat="1" hidden="1">
      <c r="A472" s="455" t="str">
        <f t="shared" si="14"/>
        <v>11359152062011</v>
      </c>
      <c r="B472" s="455">
        <f>VLOOKUP(LEFT($C$3:$C$2600,3),Table!$D$2:$E$88,2,FALSE)</f>
        <v>0</v>
      </c>
      <c r="C472" s="455" t="str">
        <f t="shared" si="15"/>
        <v>9152062011</v>
      </c>
      <c r="D472" s="455" t="e">
        <f>VLOOKUP(G472,Table!$G$3:$H$21,2,FALSE)</f>
        <v>#N/A</v>
      </c>
      <c r="E472" s="452" t="s">
        <v>902</v>
      </c>
      <c r="F472" s="452" t="s">
        <v>1205</v>
      </c>
      <c r="G472" s="452" t="s">
        <v>1184</v>
      </c>
      <c r="H472" s="452" t="s">
        <v>1185</v>
      </c>
      <c r="I472" s="453" t="s">
        <v>844</v>
      </c>
      <c r="J472" s="453">
        <v>9970.7999999999993</v>
      </c>
      <c r="K472" s="461">
        <v>1964</v>
      </c>
      <c r="L472" s="461">
        <v>354.1</v>
      </c>
      <c r="M472" s="461">
        <v>12664.7</v>
      </c>
      <c r="N472" s="461">
        <v>0</v>
      </c>
      <c r="O472" s="461">
        <v>0</v>
      </c>
      <c r="P472" s="461">
        <v>0</v>
      </c>
      <c r="Q472" s="461">
        <v>0</v>
      </c>
      <c r="R472" s="461">
        <v>0</v>
      </c>
      <c r="S472" s="461">
        <v>0</v>
      </c>
      <c r="T472" s="461">
        <v>0</v>
      </c>
      <c r="U472" s="461">
        <v>0</v>
      </c>
      <c r="V472" s="461">
        <v>0</v>
      </c>
    </row>
    <row r="473" spans="1:22" s="455" customFormat="1" hidden="1">
      <c r="A473" s="455" t="str">
        <f t="shared" si="14"/>
        <v>11359152062021</v>
      </c>
      <c r="B473" s="455">
        <f>VLOOKUP(LEFT($C$3:$C$2600,3),Table!$D$2:$E$88,2,FALSE)</f>
        <v>0</v>
      </c>
      <c r="C473" s="455" t="str">
        <f t="shared" si="15"/>
        <v>9152062021</v>
      </c>
      <c r="D473" s="455" t="e">
        <f>VLOOKUP(G473,Table!$G$3:$H$21,2,FALSE)</f>
        <v>#N/A</v>
      </c>
      <c r="E473" s="452" t="s">
        <v>902</v>
      </c>
      <c r="F473" s="452" t="s">
        <v>1205</v>
      </c>
      <c r="G473" s="452" t="s">
        <v>1186</v>
      </c>
      <c r="H473" s="452" t="s">
        <v>1187</v>
      </c>
      <c r="I473" s="453" t="s">
        <v>844</v>
      </c>
      <c r="J473" s="453">
        <v>14505.27</v>
      </c>
      <c r="K473" s="461">
        <v>2787.92</v>
      </c>
      <c r="L473" s="461">
        <v>11101.35</v>
      </c>
      <c r="M473" s="461">
        <v>616</v>
      </c>
      <c r="N473" s="461">
        <v>0</v>
      </c>
      <c r="O473" s="461">
        <v>0</v>
      </c>
      <c r="P473" s="461">
        <v>0</v>
      </c>
      <c r="Q473" s="461">
        <v>0</v>
      </c>
      <c r="R473" s="461">
        <v>0</v>
      </c>
      <c r="S473" s="461">
        <v>0</v>
      </c>
      <c r="T473" s="461">
        <v>0</v>
      </c>
      <c r="U473" s="461">
        <v>0</v>
      </c>
      <c r="V473" s="461">
        <v>0</v>
      </c>
    </row>
    <row r="474" spans="1:22" s="455" customFormat="1" hidden="1">
      <c r="A474" s="455" t="str">
        <f t="shared" si="14"/>
        <v>11359152090000</v>
      </c>
      <c r="B474" s="455">
        <f>VLOOKUP(LEFT($C$3:$C$2600,3),Table!$D$2:$E$88,2,FALSE)</f>
        <v>0</v>
      </c>
      <c r="C474" s="455" t="str">
        <f t="shared" si="15"/>
        <v>9152090000</v>
      </c>
      <c r="D474" s="455" t="e">
        <f>VLOOKUP(G474,Table!$G$3:$H$21,2,FALSE)</f>
        <v>#N/A</v>
      </c>
      <c r="E474" s="452" t="s">
        <v>902</v>
      </c>
      <c r="F474" s="452" t="s">
        <v>1205</v>
      </c>
      <c r="G474" s="452" t="s">
        <v>1033</v>
      </c>
      <c r="H474" s="452" t="s">
        <v>1034</v>
      </c>
      <c r="I474" s="453" t="s">
        <v>844</v>
      </c>
      <c r="J474" s="453">
        <v>24468.16</v>
      </c>
      <c r="K474" s="461">
        <v>0</v>
      </c>
      <c r="L474" s="461">
        <v>23218.16</v>
      </c>
      <c r="M474" s="461">
        <v>4050</v>
      </c>
      <c r="N474" s="461">
        <v>0</v>
      </c>
      <c r="O474" s="461">
        <v>0</v>
      </c>
      <c r="P474" s="461">
        <v>0</v>
      </c>
      <c r="Q474" s="461">
        <v>0</v>
      </c>
      <c r="R474" s="461">
        <v>0</v>
      </c>
      <c r="S474" s="461">
        <v>0</v>
      </c>
      <c r="T474" s="461">
        <v>0</v>
      </c>
      <c r="U474" s="461">
        <v>0</v>
      </c>
      <c r="V474" s="461">
        <v>0</v>
      </c>
    </row>
    <row r="475" spans="1:22" s="455" customFormat="1" hidden="1">
      <c r="A475" s="455" t="str">
        <f t="shared" si="14"/>
        <v>11359152801000</v>
      </c>
      <c r="B475" s="455">
        <f>VLOOKUP(LEFT($C$3:$C$2600,3),Table!$D$2:$E$88,2,FALSE)</f>
        <v>0</v>
      </c>
      <c r="C475" s="455" t="str">
        <f t="shared" si="15"/>
        <v>9152801000</v>
      </c>
      <c r="D475" s="455" t="e">
        <f>VLOOKUP(G475,Table!$G$3:$H$21,2,FALSE)</f>
        <v>#N/A</v>
      </c>
      <c r="E475" s="452" t="s">
        <v>902</v>
      </c>
      <c r="F475" s="452" t="s">
        <v>1205</v>
      </c>
      <c r="G475" s="452" t="s">
        <v>1041</v>
      </c>
      <c r="H475" s="452" t="s">
        <v>1042</v>
      </c>
      <c r="I475" s="453" t="s">
        <v>844</v>
      </c>
      <c r="J475" s="453">
        <v>1985</v>
      </c>
      <c r="K475" s="461">
        <v>0</v>
      </c>
      <c r="L475" s="461">
        <v>0</v>
      </c>
      <c r="M475" s="461">
        <v>0</v>
      </c>
      <c r="N475" s="461">
        <v>0</v>
      </c>
      <c r="O475" s="461">
        <v>0</v>
      </c>
      <c r="P475" s="461">
        <v>0</v>
      </c>
      <c r="Q475" s="461">
        <v>0</v>
      </c>
      <c r="R475" s="461">
        <v>0</v>
      </c>
      <c r="S475" s="461">
        <v>0</v>
      </c>
      <c r="T475" s="461">
        <v>0</v>
      </c>
      <c r="U475" s="461">
        <v>0</v>
      </c>
      <c r="V475" s="461">
        <v>0</v>
      </c>
    </row>
    <row r="476" spans="1:22" s="455" customFormat="1" hidden="1">
      <c r="A476" s="455" t="str">
        <f t="shared" si="14"/>
        <v>11359153001000</v>
      </c>
      <c r="B476" s="455">
        <f>VLOOKUP(LEFT($C$3:$C$2600,3),Table!$D$2:$E$88,2,FALSE)</f>
        <v>0</v>
      </c>
      <c r="C476" s="455" t="str">
        <f t="shared" si="15"/>
        <v>9153001000</v>
      </c>
      <c r="D476" s="455" t="e">
        <f>VLOOKUP(G476,Table!$G$3:$H$21,2,FALSE)</f>
        <v>#N/A</v>
      </c>
      <c r="E476" s="452" t="s">
        <v>902</v>
      </c>
      <c r="F476" s="452" t="s">
        <v>1205</v>
      </c>
      <c r="G476" s="452" t="s">
        <v>1043</v>
      </c>
      <c r="H476" s="452" t="s">
        <v>1044</v>
      </c>
      <c r="I476" s="453" t="s">
        <v>844</v>
      </c>
      <c r="J476" s="453">
        <v>567567</v>
      </c>
      <c r="K476" s="461">
        <v>189189</v>
      </c>
      <c r="L476" s="461">
        <v>189189</v>
      </c>
      <c r="M476" s="461">
        <v>189189</v>
      </c>
      <c r="N476" s="461">
        <v>0</v>
      </c>
      <c r="O476" s="461">
        <v>0</v>
      </c>
      <c r="P476" s="461">
        <v>0</v>
      </c>
      <c r="Q476" s="461">
        <v>0</v>
      </c>
      <c r="R476" s="461">
        <v>0</v>
      </c>
      <c r="S476" s="461">
        <v>0</v>
      </c>
      <c r="T476" s="461">
        <v>0</v>
      </c>
      <c r="U476" s="461">
        <v>0</v>
      </c>
      <c r="V476" s="461">
        <v>0</v>
      </c>
    </row>
    <row r="477" spans="1:22" s="455" customFormat="1" hidden="1">
      <c r="A477" s="455" t="str">
        <f t="shared" si="14"/>
        <v>11409101303300</v>
      </c>
      <c r="B477" s="455">
        <f>VLOOKUP(LEFT($C$3:$C$2600,3),Table!$D$2:$E$88,2,FALSE)</f>
        <v>0</v>
      </c>
      <c r="C477" s="455" t="str">
        <f t="shared" si="15"/>
        <v>9101303300</v>
      </c>
      <c r="D477" s="455" t="e">
        <f>VLOOKUP(G477,Table!$G$3:$H$21,2,FALSE)</f>
        <v>#N/A</v>
      </c>
      <c r="E477" s="452" t="s">
        <v>902</v>
      </c>
      <c r="F477" s="452" t="s">
        <v>1212</v>
      </c>
      <c r="G477" s="452" t="s">
        <v>1213</v>
      </c>
      <c r="H477" s="452" t="s">
        <v>1214</v>
      </c>
      <c r="I477" s="453" t="s">
        <v>844</v>
      </c>
      <c r="J477" s="453">
        <v>0</v>
      </c>
      <c r="K477" s="461">
        <v>0</v>
      </c>
      <c r="L477" s="461">
        <v>0</v>
      </c>
      <c r="M477" s="461">
        <v>1335.2</v>
      </c>
      <c r="N477" s="461">
        <v>0</v>
      </c>
      <c r="O477" s="461">
        <v>0</v>
      </c>
      <c r="P477" s="461">
        <v>0</v>
      </c>
      <c r="Q477" s="461">
        <v>0</v>
      </c>
      <c r="R477" s="461">
        <v>0</v>
      </c>
      <c r="S477" s="461">
        <v>0</v>
      </c>
      <c r="T477" s="461">
        <v>0</v>
      </c>
      <c r="U477" s="461">
        <v>0</v>
      </c>
      <c r="V477" s="461">
        <v>0</v>
      </c>
    </row>
    <row r="478" spans="1:22" s="455" customFormat="1" hidden="1">
      <c r="A478" s="455" t="str">
        <f t="shared" si="14"/>
        <v>11409151001000</v>
      </c>
      <c r="B478" s="455">
        <f>VLOOKUP(LEFT($C$3:$C$2600,3),Table!$D$2:$E$88,2,FALSE)</f>
        <v>0</v>
      </c>
      <c r="C478" s="455" t="str">
        <f t="shared" si="15"/>
        <v>9151001000</v>
      </c>
      <c r="D478" s="455" t="e">
        <f>VLOOKUP(G478,Table!$G$3:$H$21,2,FALSE)</f>
        <v>#N/A</v>
      </c>
      <c r="E478" s="452" t="s">
        <v>902</v>
      </c>
      <c r="F478" s="452" t="s">
        <v>1212</v>
      </c>
      <c r="G478" s="452" t="s">
        <v>1129</v>
      </c>
      <c r="H478" s="452" t="s">
        <v>994</v>
      </c>
      <c r="I478" s="453" t="s">
        <v>844</v>
      </c>
      <c r="J478" s="453">
        <v>6750.9</v>
      </c>
      <c r="K478" s="461">
        <v>2250.3000000000002</v>
      </c>
      <c r="L478" s="461">
        <v>2250.3000000000002</v>
      </c>
      <c r="M478" s="461">
        <v>2250.3000000000002</v>
      </c>
      <c r="N478" s="461">
        <v>0</v>
      </c>
      <c r="O478" s="461">
        <v>0</v>
      </c>
      <c r="P478" s="461">
        <v>0</v>
      </c>
      <c r="Q478" s="461">
        <v>0</v>
      </c>
      <c r="R478" s="461">
        <v>0</v>
      </c>
      <c r="S478" s="461">
        <v>0</v>
      </c>
      <c r="T478" s="461">
        <v>0</v>
      </c>
      <c r="U478" s="461">
        <v>0</v>
      </c>
      <c r="V478" s="461">
        <v>0</v>
      </c>
    </row>
    <row r="479" spans="1:22" s="455" customFormat="1" hidden="1">
      <c r="A479" s="455" t="str">
        <f t="shared" si="14"/>
        <v>11409151001100</v>
      </c>
      <c r="B479" s="455">
        <f>VLOOKUP(LEFT($C$3:$C$2600,3),Table!$D$2:$E$88,2,FALSE)</f>
        <v>0</v>
      </c>
      <c r="C479" s="455" t="str">
        <f t="shared" si="15"/>
        <v>9151001100</v>
      </c>
      <c r="D479" s="455" t="e">
        <f>VLOOKUP(G479,Table!$G$3:$H$21,2,FALSE)</f>
        <v>#N/A</v>
      </c>
      <c r="E479" s="452" t="s">
        <v>902</v>
      </c>
      <c r="F479" s="452" t="s">
        <v>1212</v>
      </c>
      <c r="G479" s="452" t="s">
        <v>1130</v>
      </c>
      <c r="H479" s="452" t="s">
        <v>1131</v>
      </c>
      <c r="I479" s="453" t="s">
        <v>844</v>
      </c>
      <c r="J479" s="453">
        <v>3587.47</v>
      </c>
      <c r="K479" s="461">
        <v>1663.65</v>
      </c>
      <c r="L479" s="461">
        <v>1214.26</v>
      </c>
      <c r="M479" s="461">
        <v>856.54</v>
      </c>
      <c r="N479" s="461">
        <v>0</v>
      </c>
      <c r="O479" s="461">
        <v>0</v>
      </c>
      <c r="P479" s="461">
        <v>0</v>
      </c>
      <c r="Q479" s="461">
        <v>0</v>
      </c>
      <c r="R479" s="461">
        <v>0</v>
      </c>
      <c r="S479" s="461">
        <v>0</v>
      </c>
      <c r="T479" s="461">
        <v>0</v>
      </c>
      <c r="U479" s="461">
        <v>0</v>
      </c>
      <c r="V479" s="461">
        <v>0</v>
      </c>
    </row>
    <row r="480" spans="1:22" s="455" customFormat="1" hidden="1">
      <c r="A480" s="455" t="str">
        <f t="shared" si="14"/>
        <v>11409151001400</v>
      </c>
      <c r="B480" s="455">
        <f>VLOOKUP(LEFT($C$3:$C$2600,3),Table!$D$2:$E$88,2,FALSE)</f>
        <v>0</v>
      </c>
      <c r="C480" s="455" t="str">
        <f t="shared" si="15"/>
        <v>9151001400</v>
      </c>
      <c r="D480" s="455" t="e">
        <f>VLOOKUP(G480,Table!$G$3:$H$21,2,FALSE)</f>
        <v>#N/A</v>
      </c>
      <c r="E480" s="452" t="s">
        <v>902</v>
      </c>
      <c r="F480" s="452" t="s">
        <v>1212</v>
      </c>
      <c r="G480" s="452" t="s">
        <v>1133</v>
      </c>
      <c r="H480" s="452" t="s">
        <v>998</v>
      </c>
      <c r="I480" s="453" t="s">
        <v>844</v>
      </c>
      <c r="J480" s="453">
        <v>1038</v>
      </c>
      <c r="K480" s="461">
        <v>346</v>
      </c>
      <c r="L480" s="461">
        <v>346</v>
      </c>
      <c r="M480" s="461">
        <v>346</v>
      </c>
      <c r="N480" s="461">
        <v>0</v>
      </c>
      <c r="O480" s="461">
        <v>0</v>
      </c>
      <c r="P480" s="461">
        <v>0</v>
      </c>
      <c r="Q480" s="461">
        <v>0</v>
      </c>
      <c r="R480" s="461">
        <v>0</v>
      </c>
      <c r="S480" s="461">
        <v>0</v>
      </c>
      <c r="T480" s="461">
        <v>0</v>
      </c>
      <c r="U480" s="461">
        <v>0</v>
      </c>
      <c r="V480" s="461">
        <v>0</v>
      </c>
    </row>
    <row r="481" spans="1:22" s="455" customFormat="1" hidden="1">
      <c r="A481" s="455" t="str">
        <f t="shared" si="14"/>
        <v>11409151001410</v>
      </c>
      <c r="B481" s="455">
        <f>VLOOKUP(LEFT($C$3:$C$2600,3),Table!$D$2:$E$88,2,FALSE)</f>
        <v>0</v>
      </c>
      <c r="C481" s="455" t="str">
        <f t="shared" si="15"/>
        <v>9151001410</v>
      </c>
      <c r="D481" s="455" t="e">
        <f>VLOOKUP(G481,Table!$G$3:$H$21,2,FALSE)</f>
        <v>#N/A</v>
      </c>
      <c r="E481" s="452" t="s">
        <v>902</v>
      </c>
      <c r="F481" s="452" t="s">
        <v>1212</v>
      </c>
      <c r="G481" s="452" t="s">
        <v>1134</v>
      </c>
      <c r="H481" s="452" t="s">
        <v>1078</v>
      </c>
      <c r="I481" s="453" t="s">
        <v>844</v>
      </c>
      <c r="J481" s="453">
        <v>30</v>
      </c>
      <c r="K481" s="461">
        <v>15</v>
      </c>
      <c r="L481" s="461">
        <v>15</v>
      </c>
      <c r="M481" s="461">
        <v>0</v>
      </c>
      <c r="N481" s="461">
        <v>0</v>
      </c>
      <c r="O481" s="461">
        <v>0</v>
      </c>
      <c r="P481" s="461">
        <v>0</v>
      </c>
      <c r="Q481" s="461">
        <v>0</v>
      </c>
      <c r="R481" s="461">
        <v>0</v>
      </c>
      <c r="S481" s="461">
        <v>0</v>
      </c>
      <c r="T481" s="461">
        <v>0</v>
      </c>
      <c r="U481" s="461">
        <v>0</v>
      </c>
      <c r="V481" s="461">
        <v>0</v>
      </c>
    </row>
    <row r="482" spans="1:22" s="455" customFormat="1" hidden="1">
      <c r="A482" s="455" t="str">
        <f t="shared" si="14"/>
        <v>11409151001500</v>
      </c>
      <c r="B482" s="455">
        <f>VLOOKUP(LEFT($C$3:$C$2600,3),Table!$D$2:$E$88,2,FALSE)</f>
        <v>0</v>
      </c>
      <c r="C482" s="455" t="str">
        <f t="shared" si="15"/>
        <v>9151001500</v>
      </c>
      <c r="D482" s="455" t="e">
        <f>VLOOKUP(G482,Table!$G$3:$H$21,2,FALSE)</f>
        <v>#N/A</v>
      </c>
      <c r="E482" s="452" t="s">
        <v>902</v>
      </c>
      <c r="F482" s="452" t="s">
        <v>1212</v>
      </c>
      <c r="G482" s="452" t="s">
        <v>1135</v>
      </c>
      <c r="H482" s="452" t="s">
        <v>1136</v>
      </c>
      <c r="I482" s="453" t="s">
        <v>844</v>
      </c>
      <c r="J482" s="453">
        <v>154.94999999999999</v>
      </c>
      <c r="K482" s="461">
        <v>51.65</v>
      </c>
      <c r="L482" s="461">
        <v>51.65</v>
      </c>
      <c r="M482" s="461">
        <v>51.65</v>
      </c>
      <c r="N482" s="461">
        <v>0</v>
      </c>
      <c r="O482" s="461">
        <v>0</v>
      </c>
      <c r="P482" s="461">
        <v>0</v>
      </c>
      <c r="Q482" s="461">
        <v>0</v>
      </c>
      <c r="R482" s="461">
        <v>0</v>
      </c>
      <c r="S482" s="461">
        <v>0</v>
      </c>
      <c r="T482" s="461">
        <v>0</v>
      </c>
      <c r="U482" s="461">
        <v>0</v>
      </c>
      <c r="V482" s="461">
        <v>0</v>
      </c>
    </row>
    <row r="483" spans="1:22" s="455" customFormat="1" hidden="1">
      <c r="A483" s="455" t="str">
        <f t="shared" si="14"/>
        <v>11409151001600</v>
      </c>
      <c r="B483" s="455">
        <f>VLOOKUP(LEFT($C$3:$C$2600,3),Table!$D$2:$E$88,2,FALSE)</f>
        <v>0</v>
      </c>
      <c r="C483" s="455" t="str">
        <f t="shared" si="15"/>
        <v>9151001600</v>
      </c>
      <c r="D483" s="455" t="e">
        <f>VLOOKUP(G483,Table!$G$3:$H$21,2,FALSE)</f>
        <v>#N/A</v>
      </c>
      <c r="E483" s="452" t="s">
        <v>902</v>
      </c>
      <c r="F483" s="452" t="s">
        <v>1212</v>
      </c>
      <c r="G483" s="452" t="s">
        <v>1137</v>
      </c>
      <c r="H483" s="452" t="s">
        <v>1002</v>
      </c>
      <c r="I483" s="453" t="s">
        <v>844</v>
      </c>
      <c r="J483" s="453">
        <v>1540.29</v>
      </c>
      <c r="K483" s="461">
        <v>513.42999999999995</v>
      </c>
      <c r="L483" s="461">
        <v>513.42999999999995</v>
      </c>
      <c r="M483" s="461">
        <v>513.42999999999995</v>
      </c>
      <c r="N483" s="461">
        <v>0</v>
      </c>
      <c r="O483" s="461">
        <v>0</v>
      </c>
      <c r="P483" s="461">
        <v>0</v>
      </c>
      <c r="Q483" s="461">
        <v>0</v>
      </c>
      <c r="R483" s="461">
        <v>0</v>
      </c>
      <c r="S483" s="461">
        <v>0</v>
      </c>
      <c r="T483" s="461">
        <v>0</v>
      </c>
      <c r="U483" s="461">
        <v>0</v>
      </c>
      <c r="V483" s="461">
        <v>0</v>
      </c>
    </row>
    <row r="484" spans="1:22" s="455" customFormat="1" hidden="1">
      <c r="A484" s="455" t="str">
        <f t="shared" si="14"/>
        <v>11409151001700</v>
      </c>
      <c r="B484" s="455">
        <f>VLOOKUP(LEFT($C$3:$C$2600,3),Table!$D$2:$E$88,2,FALSE)</f>
        <v>0</v>
      </c>
      <c r="C484" s="455" t="str">
        <f t="shared" si="15"/>
        <v>9151001700</v>
      </c>
      <c r="D484" s="455" t="e">
        <f>VLOOKUP(G484,Table!$G$3:$H$21,2,FALSE)</f>
        <v>#N/A</v>
      </c>
      <c r="E484" s="452" t="s">
        <v>902</v>
      </c>
      <c r="F484" s="452" t="s">
        <v>1212</v>
      </c>
      <c r="G484" s="452" t="s">
        <v>1138</v>
      </c>
      <c r="H484" s="452" t="s">
        <v>1003</v>
      </c>
      <c r="I484" s="453" t="s">
        <v>844</v>
      </c>
      <c r="J484" s="453">
        <v>-3554.17</v>
      </c>
      <c r="K484" s="461">
        <v>121.52</v>
      </c>
      <c r="L484" s="461">
        <v>-59.26</v>
      </c>
      <c r="M484" s="461">
        <v>0</v>
      </c>
      <c r="N484" s="461">
        <v>0</v>
      </c>
      <c r="O484" s="461">
        <v>0</v>
      </c>
      <c r="P484" s="461">
        <v>0</v>
      </c>
      <c r="Q484" s="461">
        <v>0</v>
      </c>
      <c r="R484" s="461">
        <v>0</v>
      </c>
      <c r="S484" s="461">
        <v>0</v>
      </c>
      <c r="T484" s="461">
        <v>0</v>
      </c>
      <c r="U484" s="461">
        <v>0</v>
      </c>
      <c r="V484" s="461">
        <v>0</v>
      </c>
    </row>
    <row r="485" spans="1:22" s="455" customFormat="1" hidden="1">
      <c r="A485" s="455" t="str">
        <f t="shared" si="14"/>
        <v>11409151001800</v>
      </c>
      <c r="B485" s="455">
        <f>VLOOKUP(LEFT($C$3:$C$2600,3),Table!$D$2:$E$88,2,FALSE)</f>
        <v>0</v>
      </c>
      <c r="C485" s="455" t="str">
        <f t="shared" si="15"/>
        <v>9151001800</v>
      </c>
      <c r="D485" s="455" t="e">
        <f>VLOOKUP(G485,Table!$G$3:$H$21,2,FALSE)</f>
        <v>#N/A</v>
      </c>
      <c r="E485" s="452" t="s">
        <v>902</v>
      </c>
      <c r="F485" s="452" t="s">
        <v>1212</v>
      </c>
      <c r="G485" s="452" t="s">
        <v>1139</v>
      </c>
      <c r="H485" s="452" t="s">
        <v>1005</v>
      </c>
      <c r="I485" s="453" t="s">
        <v>844</v>
      </c>
      <c r="J485" s="453">
        <v>397.8</v>
      </c>
      <c r="K485" s="461">
        <v>143.9</v>
      </c>
      <c r="L485" s="461">
        <v>125</v>
      </c>
      <c r="M485" s="461">
        <v>128.9</v>
      </c>
      <c r="N485" s="461">
        <v>0</v>
      </c>
      <c r="O485" s="461">
        <v>0</v>
      </c>
      <c r="P485" s="461">
        <v>0</v>
      </c>
      <c r="Q485" s="461">
        <v>0</v>
      </c>
      <c r="R485" s="461">
        <v>0</v>
      </c>
      <c r="S485" s="461">
        <v>0</v>
      </c>
      <c r="T485" s="461">
        <v>0</v>
      </c>
      <c r="U485" s="461">
        <v>0</v>
      </c>
      <c r="V485" s="461">
        <v>0</v>
      </c>
    </row>
    <row r="486" spans="1:22" s="455" customFormat="1" hidden="1">
      <c r="A486" s="455" t="str">
        <f t="shared" si="14"/>
        <v>11409151001900</v>
      </c>
      <c r="B486" s="455">
        <f>VLOOKUP(LEFT($C$3:$C$2600,3),Table!$D$2:$E$88,2,FALSE)</f>
        <v>0</v>
      </c>
      <c r="C486" s="455" t="str">
        <f t="shared" si="15"/>
        <v>9151001900</v>
      </c>
      <c r="D486" s="455" t="e">
        <f>VLOOKUP(G486,Table!$G$3:$H$21,2,FALSE)</f>
        <v>#N/A</v>
      </c>
      <c r="E486" s="452" t="s">
        <v>902</v>
      </c>
      <c r="F486" s="452" t="s">
        <v>1212</v>
      </c>
      <c r="G486" s="452" t="s">
        <v>1140</v>
      </c>
      <c r="H486" s="452" t="s">
        <v>1007</v>
      </c>
      <c r="I486" s="453" t="s">
        <v>844</v>
      </c>
      <c r="J486" s="453">
        <v>67.5</v>
      </c>
      <c r="K486" s="461">
        <v>22.5</v>
      </c>
      <c r="L486" s="461">
        <v>22.5</v>
      </c>
      <c r="M486" s="461">
        <v>22.5</v>
      </c>
      <c r="N486" s="461">
        <v>0</v>
      </c>
      <c r="O486" s="461">
        <v>0</v>
      </c>
      <c r="P486" s="461">
        <v>0</v>
      </c>
      <c r="Q486" s="461">
        <v>0</v>
      </c>
      <c r="R486" s="461">
        <v>0</v>
      </c>
      <c r="S486" s="461">
        <v>0</v>
      </c>
      <c r="T486" s="461">
        <v>0</v>
      </c>
      <c r="U486" s="461">
        <v>0</v>
      </c>
      <c r="V486" s="461">
        <v>0</v>
      </c>
    </row>
    <row r="487" spans="1:22" s="455" customFormat="1" hidden="1">
      <c r="A487" s="455" t="str">
        <f t="shared" si="14"/>
        <v>11409151601001</v>
      </c>
      <c r="B487" s="455">
        <f>VLOOKUP(LEFT($C$3:$C$2600,3),Table!$D$2:$E$88,2,FALSE)</f>
        <v>0</v>
      </c>
      <c r="C487" s="455" t="str">
        <f t="shared" si="15"/>
        <v>9151601001</v>
      </c>
      <c r="D487" s="455" t="e">
        <f>VLOOKUP(G487,Table!$G$3:$H$21,2,FALSE)</f>
        <v>#N/A</v>
      </c>
      <c r="E487" s="452" t="s">
        <v>902</v>
      </c>
      <c r="F487" s="452" t="s">
        <v>1212</v>
      </c>
      <c r="G487" s="452" t="s">
        <v>1015</v>
      </c>
      <c r="H487" s="452" t="s">
        <v>1016</v>
      </c>
      <c r="I487" s="453" t="s">
        <v>844</v>
      </c>
      <c r="J487" s="453">
        <v>117</v>
      </c>
      <c r="K487" s="461">
        <v>60</v>
      </c>
      <c r="L487" s="461">
        <v>57</v>
      </c>
      <c r="M487" s="461">
        <v>0</v>
      </c>
      <c r="N487" s="461">
        <v>0</v>
      </c>
      <c r="O487" s="461">
        <v>0</v>
      </c>
      <c r="P487" s="461">
        <v>0</v>
      </c>
      <c r="Q487" s="461">
        <v>0</v>
      </c>
      <c r="R487" s="461">
        <v>0</v>
      </c>
      <c r="S487" s="461">
        <v>0</v>
      </c>
      <c r="T487" s="461">
        <v>0</v>
      </c>
      <c r="U487" s="461">
        <v>0</v>
      </c>
      <c r="V487" s="461">
        <v>0</v>
      </c>
    </row>
    <row r="488" spans="1:22" s="455" customFormat="1" hidden="1">
      <c r="A488" s="455" t="str">
        <f t="shared" si="14"/>
        <v>11409152010211</v>
      </c>
      <c r="B488" s="455">
        <f>VLOOKUP(LEFT($C$3:$C$2600,3),Table!$D$2:$E$88,2,FALSE)</f>
        <v>0</v>
      </c>
      <c r="C488" s="455" t="str">
        <f t="shared" si="15"/>
        <v>9152010211</v>
      </c>
      <c r="D488" s="455" t="e">
        <f>VLOOKUP(G488,Table!$G$3:$H$21,2,FALSE)</f>
        <v>#N/A</v>
      </c>
      <c r="E488" s="452" t="s">
        <v>902</v>
      </c>
      <c r="F488" s="452" t="s">
        <v>1212</v>
      </c>
      <c r="G488" s="452" t="s">
        <v>1021</v>
      </c>
      <c r="H488" s="452" t="s">
        <v>1022</v>
      </c>
      <c r="I488" s="453" t="s">
        <v>844</v>
      </c>
      <c r="J488" s="453">
        <v>4427.3999999999996</v>
      </c>
      <c r="K488" s="461">
        <v>1475.8</v>
      </c>
      <c r="L488" s="461">
        <v>1475.8</v>
      </c>
      <c r="M488" s="461">
        <v>1475.8</v>
      </c>
      <c r="N488" s="461">
        <v>0</v>
      </c>
      <c r="O488" s="461">
        <v>0</v>
      </c>
      <c r="P488" s="461">
        <v>0</v>
      </c>
      <c r="Q488" s="461">
        <v>0</v>
      </c>
      <c r="R488" s="461">
        <v>0</v>
      </c>
      <c r="S488" s="461">
        <v>0</v>
      </c>
      <c r="T488" s="461">
        <v>0</v>
      </c>
      <c r="U488" s="461">
        <v>0</v>
      </c>
      <c r="V488" s="461">
        <v>0</v>
      </c>
    </row>
    <row r="489" spans="1:22" s="455" customFormat="1" hidden="1">
      <c r="A489" s="455" t="str">
        <f t="shared" si="14"/>
        <v>11409152402503</v>
      </c>
      <c r="B489" s="455">
        <f>VLOOKUP(LEFT($C$3:$C$2600,3),Table!$D$2:$E$88,2,FALSE)</f>
        <v>0</v>
      </c>
      <c r="C489" s="455" t="str">
        <f t="shared" si="15"/>
        <v>9152402503</v>
      </c>
      <c r="D489" s="455" t="e">
        <f>VLOOKUP(G489,Table!$G$3:$H$21,2,FALSE)</f>
        <v>#N/A</v>
      </c>
      <c r="E489" s="452" t="s">
        <v>902</v>
      </c>
      <c r="F489" s="452" t="s">
        <v>1212</v>
      </c>
      <c r="G489" s="452" t="s">
        <v>1218</v>
      </c>
      <c r="H489" s="452" t="s">
        <v>1219</v>
      </c>
      <c r="I489" s="453" t="s">
        <v>844</v>
      </c>
      <c r="J489" s="453">
        <v>9400</v>
      </c>
      <c r="K489" s="461">
        <v>2300</v>
      </c>
      <c r="L489" s="461">
        <v>2300</v>
      </c>
      <c r="M489" s="461">
        <v>2400</v>
      </c>
      <c r="N489" s="461">
        <v>0</v>
      </c>
      <c r="O489" s="461">
        <v>0</v>
      </c>
      <c r="P489" s="461">
        <v>0</v>
      </c>
      <c r="Q489" s="461">
        <v>0</v>
      </c>
      <c r="R489" s="461">
        <v>0</v>
      </c>
      <c r="S489" s="461">
        <v>0</v>
      </c>
      <c r="T489" s="461">
        <v>0</v>
      </c>
      <c r="U489" s="461">
        <v>0</v>
      </c>
      <c r="V489" s="461">
        <v>0</v>
      </c>
    </row>
    <row r="490" spans="1:22" s="455" customFormat="1" hidden="1">
      <c r="A490" s="455" t="str">
        <f t="shared" si="14"/>
        <v>11409153001000</v>
      </c>
      <c r="B490" s="455">
        <f>VLOOKUP(LEFT($C$3:$C$2600,3),Table!$D$2:$E$88,2,FALSE)</f>
        <v>0</v>
      </c>
      <c r="C490" s="455" t="str">
        <f t="shared" si="15"/>
        <v>9153001000</v>
      </c>
      <c r="D490" s="455" t="e">
        <f>VLOOKUP(G490,Table!$G$3:$H$21,2,FALSE)</f>
        <v>#N/A</v>
      </c>
      <c r="E490" s="452" t="s">
        <v>902</v>
      </c>
      <c r="F490" s="452" t="s">
        <v>1212</v>
      </c>
      <c r="G490" s="452" t="s">
        <v>1043</v>
      </c>
      <c r="H490" s="452" t="s">
        <v>1044</v>
      </c>
      <c r="I490" s="453" t="s">
        <v>844</v>
      </c>
      <c r="J490" s="453">
        <v>6516</v>
      </c>
      <c r="K490" s="461">
        <v>2172</v>
      </c>
      <c r="L490" s="461">
        <v>2172</v>
      </c>
      <c r="M490" s="461">
        <v>2172</v>
      </c>
      <c r="N490" s="461">
        <v>0</v>
      </c>
      <c r="O490" s="461">
        <v>0</v>
      </c>
      <c r="P490" s="461">
        <v>0</v>
      </c>
      <c r="Q490" s="461">
        <v>0</v>
      </c>
      <c r="R490" s="461">
        <v>0</v>
      </c>
      <c r="S490" s="461">
        <v>0</v>
      </c>
      <c r="T490" s="461">
        <v>0</v>
      </c>
      <c r="U490" s="461">
        <v>0</v>
      </c>
      <c r="V490" s="461">
        <v>0</v>
      </c>
    </row>
    <row r="491" spans="1:22" s="455" customFormat="1" hidden="1">
      <c r="A491" s="455" t="str">
        <f t="shared" si="14"/>
        <v>11419101101000</v>
      </c>
      <c r="B491" s="455">
        <f>VLOOKUP(LEFT($C$3:$C$2600,3),Table!$D$2:$E$88,2,FALSE)</f>
        <v>0</v>
      </c>
      <c r="C491" s="455" t="str">
        <f t="shared" si="15"/>
        <v>9101101000</v>
      </c>
      <c r="D491" s="455" t="e">
        <f>VLOOKUP(G491,Table!$G$3:$H$21,2,FALSE)</f>
        <v>#N/A</v>
      </c>
      <c r="E491" s="452" t="s">
        <v>902</v>
      </c>
      <c r="F491" s="452" t="s">
        <v>1220</v>
      </c>
      <c r="G491" s="452" t="s">
        <v>1067</v>
      </c>
      <c r="H491" s="452" t="s">
        <v>1068</v>
      </c>
      <c r="I491" s="453" t="s">
        <v>844</v>
      </c>
      <c r="J491" s="453">
        <v>14221.41</v>
      </c>
      <c r="K491" s="461">
        <v>4991.97</v>
      </c>
      <c r="L491" s="461">
        <v>4998.7700000000004</v>
      </c>
      <c r="M491" s="461">
        <v>4996.32</v>
      </c>
      <c r="N491" s="461">
        <v>0</v>
      </c>
      <c r="O491" s="461">
        <v>0</v>
      </c>
      <c r="P491" s="461">
        <v>0</v>
      </c>
      <c r="Q491" s="461">
        <v>0</v>
      </c>
      <c r="R491" s="461">
        <v>0</v>
      </c>
      <c r="S491" s="461">
        <v>0</v>
      </c>
      <c r="T491" s="461">
        <v>0</v>
      </c>
      <c r="U491" s="461">
        <v>0</v>
      </c>
      <c r="V491" s="461">
        <v>0</v>
      </c>
    </row>
    <row r="492" spans="1:22" s="455" customFormat="1" hidden="1">
      <c r="A492" s="455" t="str">
        <f t="shared" si="14"/>
        <v>11419101101100</v>
      </c>
      <c r="B492" s="455">
        <f>VLOOKUP(LEFT($C$3:$C$2600,3),Table!$D$2:$E$88,2,FALSE)</f>
        <v>0</v>
      </c>
      <c r="C492" s="455" t="str">
        <f t="shared" si="15"/>
        <v>9101101100</v>
      </c>
      <c r="D492" s="455" t="e">
        <f>VLOOKUP(G492,Table!$G$3:$H$21,2,FALSE)</f>
        <v>#N/A</v>
      </c>
      <c r="E492" s="452" t="s">
        <v>902</v>
      </c>
      <c r="F492" s="452" t="s">
        <v>1220</v>
      </c>
      <c r="G492" s="452" t="s">
        <v>1069</v>
      </c>
      <c r="H492" s="452" t="s">
        <v>1070</v>
      </c>
      <c r="I492" s="453" t="s">
        <v>844</v>
      </c>
      <c r="J492" s="453">
        <v>4447.33</v>
      </c>
      <c r="K492" s="461">
        <v>2141.4299999999998</v>
      </c>
      <c r="L492" s="461">
        <v>1348.92</v>
      </c>
      <c r="M492" s="461">
        <v>1181.7</v>
      </c>
      <c r="N492" s="461">
        <v>0</v>
      </c>
      <c r="O492" s="461">
        <v>0</v>
      </c>
      <c r="P492" s="461">
        <v>0</v>
      </c>
      <c r="Q492" s="461">
        <v>0</v>
      </c>
      <c r="R492" s="461">
        <v>0</v>
      </c>
      <c r="S492" s="461">
        <v>0</v>
      </c>
      <c r="T492" s="461">
        <v>0</v>
      </c>
      <c r="U492" s="461">
        <v>0</v>
      </c>
      <c r="V492" s="461">
        <v>0</v>
      </c>
    </row>
    <row r="493" spans="1:22" s="455" customFormat="1" hidden="1">
      <c r="A493" s="455" t="str">
        <f t="shared" si="14"/>
        <v>11419101101200</v>
      </c>
      <c r="B493" s="455">
        <f>VLOOKUP(LEFT($C$3:$C$2600,3),Table!$D$2:$E$88,2,FALSE)</f>
        <v>0</v>
      </c>
      <c r="C493" s="455" t="str">
        <f t="shared" si="15"/>
        <v>9101101200</v>
      </c>
      <c r="D493" s="455" t="e">
        <f>VLOOKUP(G493,Table!$G$3:$H$21,2,FALSE)</f>
        <v>#N/A</v>
      </c>
      <c r="E493" s="452" t="s">
        <v>902</v>
      </c>
      <c r="F493" s="452" t="s">
        <v>1220</v>
      </c>
      <c r="G493" s="452" t="s">
        <v>1071</v>
      </c>
      <c r="H493" s="452" t="s">
        <v>1072</v>
      </c>
      <c r="I493" s="453" t="s">
        <v>844</v>
      </c>
      <c r="J493" s="453">
        <v>1840.26</v>
      </c>
      <c r="K493" s="461">
        <v>630.6</v>
      </c>
      <c r="L493" s="461">
        <v>603.58000000000004</v>
      </c>
      <c r="M493" s="461">
        <v>606.08000000000004</v>
      </c>
      <c r="N493" s="461">
        <v>0</v>
      </c>
      <c r="O493" s="461">
        <v>0</v>
      </c>
      <c r="P493" s="461">
        <v>0</v>
      </c>
      <c r="Q493" s="461">
        <v>0</v>
      </c>
      <c r="R493" s="461">
        <v>0</v>
      </c>
      <c r="S493" s="461">
        <v>0</v>
      </c>
      <c r="T493" s="461">
        <v>0</v>
      </c>
      <c r="U493" s="461">
        <v>0</v>
      </c>
      <c r="V493" s="461">
        <v>0</v>
      </c>
    </row>
    <row r="494" spans="1:22" s="455" customFormat="1" hidden="1">
      <c r="A494" s="455" t="str">
        <f t="shared" si="14"/>
        <v>11419101101400</v>
      </c>
      <c r="B494" s="455">
        <f>VLOOKUP(LEFT($C$3:$C$2600,3),Table!$D$2:$E$88,2,FALSE)</f>
        <v>0</v>
      </c>
      <c r="C494" s="455" t="str">
        <f t="shared" si="15"/>
        <v>9101101400</v>
      </c>
      <c r="D494" s="455" t="e">
        <f>VLOOKUP(G494,Table!$G$3:$H$21,2,FALSE)</f>
        <v>#N/A</v>
      </c>
      <c r="E494" s="452" t="s">
        <v>902</v>
      </c>
      <c r="F494" s="452" t="s">
        <v>1220</v>
      </c>
      <c r="G494" s="452" t="s">
        <v>1075</v>
      </c>
      <c r="H494" s="452" t="s">
        <v>1076</v>
      </c>
      <c r="I494" s="453" t="s">
        <v>844</v>
      </c>
      <c r="J494" s="453">
        <v>2501</v>
      </c>
      <c r="K494" s="461">
        <v>824</v>
      </c>
      <c r="L494" s="461">
        <v>827</v>
      </c>
      <c r="M494" s="461">
        <v>850</v>
      </c>
      <c r="N494" s="461">
        <v>0</v>
      </c>
      <c r="O494" s="461">
        <v>0</v>
      </c>
      <c r="P494" s="461">
        <v>0</v>
      </c>
      <c r="Q494" s="461">
        <v>0</v>
      </c>
      <c r="R494" s="461">
        <v>0</v>
      </c>
      <c r="S494" s="461">
        <v>0</v>
      </c>
      <c r="T494" s="461">
        <v>0</v>
      </c>
      <c r="U494" s="461">
        <v>0</v>
      </c>
      <c r="V494" s="461">
        <v>0</v>
      </c>
    </row>
    <row r="495" spans="1:22" s="455" customFormat="1" hidden="1">
      <c r="A495" s="455" t="str">
        <f t="shared" si="14"/>
        <v>11419101101410</v>
      </c>
      <c r="B495" s="455">
        <f>VLOOKUP(LEFT($C$3:$C$2600,3),Table!$D$2:$E$88,2,FALSE)</f>
        <v>0</v>
      </c>
      <c r="C495" s="455" t="str">
        <f t="shared" si="15"/>
        <v>9101101410</v>
      </c>
      <c r="D495" s="455" t="e">
        <f>VLOOKUP(G495,Table!$G$3:$H$21,2,FALSE)</f>
        <v>#N/A</v>
      </c>
      <c r="E495" s="452" t="s">
        <v>902</v>
      </c>
      <c r="F495" s="452" t="s">
        <v>1220</v>
      </c>
      <c r="G495" s="452" t="s">
        <v>1077</v>
      </c>
      <c r="H495" s="452" t="s">
        <v>1078</v>
      </c>
      <c r="I495" s="453" t="s">
        <v>844</v>
      </c>
      <c r="J495" s="453">
        <v>90</v>
      </c>
      <c r="K495" s="461">
        <v>30</v>
      </c>
      <c r="L495" s="461">
        <v>30</v>
      </c>
      <c r="M495" s="461">
        <v>30</v>
      </c>
      <c r="N495" s="461">
        <v>0</v>
      </c>
      <c r="O495" s="461">
        <v>0</v>
      </c>
      <c r="P495" s="461">
        <v>0</v>
      </c>
      <c r="Q495" s="461">
        <v>0</v>
      </c>
      <c r="R495" s="461">
        <v>0</v>
      </c>
      <c r="S495" s="461">
        <v>0</v>
      </c>
      <c r="T495" s="461">
        <v>0</v>
      </c>
      <c r="U495" s="461">
        <v>0</v>
      </c>
      <c r="V495" s="461">
        <v>0</v>
      </c>
    </row>
    <row r="496" spans="1:22" s="455" customFormat="1" hidden="1">
      <c r="A496" s="455" t="str">
        <f t="shared" si="14"/>
        <v>11419101101500</v>
      </c>
      <c r="B496" s="455">
        <f>VLOOKUP(LEFT($C$3:$C$2600,3),Table!$D$2:$E$88,2,FALSE)</f>
        <v>0</v>
      </c>
      <c r="C496" s="455" t="str">
        <f t="shared" si="15"/>
        <v>9101101500</v>
      </c>
      <c r="D496" s="455" t="e">
        <f>VLOOKUP(G496,Table!$G$3:$H$21,2,FALSE)</f>
        <v>#N/A</v>
      </c>
      <c r="E496" s="452" t="s">
        <v>902</v>
      </c>
      <c r="F496" s="452" t="s">
        <v>1220</v>
      </c>
      <c r="G496" s="452" t="s">
        <v>1079</v>
      </c>
      <c r="H496" s="452" t="s">
        <v>1080</v>
      </c>
      <c r="I496" s="453" t="s">
        <v>844</v>
      </c>
      <c r="J496" s="453">
        <v>366.75</v>
      </c>
      <c r="K496" s="461">
        <v>128.65</v>
      </c>
      <c r="L496" s="461">
        <v>121.65</v>
      </c>
      <c r="M496" s="461">
        <v>116.45</v>
      </c>
      <c r="N496" s="461">
        <v>0</v>
      </c>
      <c r="O496" s="461">
        <v>0</v>
      </c>
      <c r="P496" s="461">
        <v>0</v>
      </c>
      <c r="Q496" s="461">
        <v>0</v>
      </c>
      <c r="R496" s="461">
        <v>0</v>
      </c>
      <c r="S496" s="461">
        <v>0</v>
      </c>
      <c r="T496" s="461">
        <v>0</v>
      </c>
      <c r="U496" s="461">
        <v>0</v>
      </c>
      <c r="V496" s="461">
        <v>0</v>
      </c>
    </row>
    <row r="497" spans="1:22" s="455" customFormat="1" hidden="1">
      <c r="A497" s="455" t="str">
        <f t="shared" si="14"/>
        <v>11419101101600</v>
      </c>
      <c r="B497" s="455">
        <f>VLOOKUP(LEFT($C$3:$C$2600,3),Table!$D$2:$E$88,2,FALSE)</f>
        <v>0</v>
      </c>
      <c r="C497" s="455" t="str">
        <f t="shared" si="15"/>
        <v>9101101600</v>
      </c>
      <c r="D497" s="455" t="e">
        <f>VLOOKUP(G497,Table!$G$3:$H$21,2,FALSE)</f>
        <v>#N/A</v>
      </c>
      <c r="E497" s="452" t="s">
        <v>902</v>
      </c>
      <c r="F497" s="452" t="s">
        <v>1220</v>
      </c>
      <c r="G497" s="452" t="s">
        <v>1081</v>
      </c>
      <c r="H497" s="452" t="s">
        <v>1082</v>
      </c>
      <c r="I497" s="453" t="s">
        <v>844</v>
      </c>
      <c r="J497" s="453">
        <v>3418.5</v>
      </c>
      <c r="K497" s="461">
        <v>1139.5</v>
      </c>
      <c r="L497" s="461">
        <v>1139.5</v>
      </c>
      <c r="M497" s="461">
        <v>1139.5</v>
      </c>
      <c r="N497" s="461">
        <v>0</v>
      </c>
      <c r="O497" s="461">
        <v>0</v>
      </c>
      <c r="P497" s="461">
        <v>0</v>
      </c>
      <c r="Q497" s="461">
        <v>0</v>
      </c>
      <c r="R497" s="461">
        <v>0</v>
      </c>
      <c r="S497" s="461">
        <v>0</v>
      </c>
      <c r="T497" s="461">
        <v>0</v>
      </c>
      <c r="U497" s="461">
        <v>0</v>
      </c>
      <c r="V497" s="461">
        <v>0</v>
      </c>
    </row>
    <row r="498" spans="1:22" s="455" customFormat="1" hidden="1">
      <c r="A498" s="455" t="str">
        <f t="shared" si="14"/>
        <v>11419101101700</v>
      </c>
      <c r="B498" s="455">
        <f>VLOOKUP(LEFT($C$3:$C$2600,3),Table!$D$2:$E$88,2,FALSE)</f>
        <v>0</v>
      </c>
      <c r="C498" s="455" t="str">
        <f t="shared" si="15"/>
        <v>9101101700</v>
      </c>
      <c r="D498" s="455" t="e">
        <f>VLOOKUP(G498,Table!$G$3:$H$21,2,FALSE)</f>
        <v>#N/A</v>
      </c>
      <c r="E498" s="452" t="s">
        <v>902</v>
      </c>
      <c r="F498" s="452" t="s">
        <v>1220</v>
      </c>
      <c r="G498" s="452" t="s">
        <v>1083</v>
      </c>
      <c r="H498" s="452" t="s">
        <v>1084</v>
      </c>
      <c r="I498" s="453" t="s">
        <v>844</v>
      </c>
      <c r="J498" s="453">
        <v>-6022.24</v>
      </c>
      <c r="K498" s="461">
        <v>80.19</v>
      </c>
      <c r="L498" s="461">
        <v>154.81</v>
      </c>
      <c r="M498" s="461">
        <v>222.26</v>
      </c>
      <c r="N498" s="461">
        <v>0</v>
      </c>
      <c r="O498" s="461">
        <v>0</v>
      </c>
      <c r="P498" s="461">
        <v>0</v>
      </c>
      <c r="Q498" s="461">
        <v>0</v>
      </c>
      <c r="R498" s="461">
        <v>0</v>
      </c>
      <c r="S498" s="461">
        <v>0</v>
      </c>
      <c r="T498" s="461">
        <v>0</v>
      </c>
      <c r="U498" s="461">
        <v>0</v>
      </c>
      <c r="V498" s="461">
        <v>0</v>
      </c>
    </row>
    <row r="499" spans="1:22" s="455" customFormat="1" hidden="1">
      <c r="A499" s="455" t="str">
        <f t="shared" si="14"/>
        <v>11419101101800</v>
      </c>
      <c r="B499" s="455">
        <f>VLOOKUP(LEFT($C$3:$C$2600,3),Table!$D$2:$E$88,2,FALSE)</f>
        <v>0</v>
      </c>
      <c r="C499" s="455" t="str">
        <f t="shared" si="15"/>
        <v>9101101800</v>
      </c>
      <c r="D499" s="455" t="e">
        <f>VLOOKUP(G499,Table!$G$3:$H$21,2,FALSE)</f>
        <v>#N/A</v>
      </c>
      <c r="E499" s="452" t="s">
        <v>902</v>
      </c>
      <c r="F499" s="452" t="s">
        <v>1220</v>
      </c>
      <c r="G499" s="452" t="s">
        <v>1085</v>
      </c>
      <c r="H499" s="452" t="s">
        <v>1086</v>
      </c>
      <c r="I499" s="453" t="s">
        <v>844</v>
      </c>
      <c r="J499" s="453">
        <v>1024.4000000000001</v>
      </c>
      <c r="K499" s="461">
        <v>383.1</v>
      </c>
      <c r="L499" s="461">
        <v>333.3</v>
      </c>
      <c r="M499" s="461">
        <v>308</v>
      </c>
      <c r="N499" s="461">
        <v>0</v>
      </c>
      <c r="O499" s="461">
        <v>0</v>
      </c>
      <c r="P499" s="461">
        <v>0</v>
      </c>
      <c r="Q499" s="461">
        <v>0</v>
      </c>
      <c r="R499" s="461">
        <v>0</v>
      </c>
      <c r="S499" s="461">
        <v>0</v>
      </c>
      <c r="T499" s="461">
        <v>0</v>
      </c>
      <c r="U499" s="461">
        <v>0</v>
      </c>
      <c r="V499" s="461">
        <v>0</v>
      </c>
    </row>
    <row r="500" spans="1:22" s="455" customFormat="1" hidden="1">
      <c r="A500" s="455" t="str">
        <f t="shared" si="14"/>
        <v>11419101101900</v>
      </c>
      <c r="B500" s="455">
        <f>VLOOKUP(LEFT($C$3:$C$2600,3),Table!$D$2:$E$88,2,FALSE)</f>
        <v>0</v>
      </c>
      <c r="C500" s="455" t="str">
        <f t="shared" si="15"/>
        <v>9101101900</v>
      </c>
      <c r="D500" s="455" t="e">
        <f>VLOOKUP(G500,Table!$G$3:$H$21,2,FALSE)</f>
        <v>#N/A</v>
      </c>
      <c r="E500" s="452" t="s">
        <v>902</v>
      </c>
      <c r="F500" s="452" t="s">
        <v>1220</v>
      </c>
      <c r="G500" s="452" t="s">
        <v>1087</v>
      </c>
      <c r="H500" s="452" t="s">
        <v>1088</v>
      </c>
      <c r="I500" s="453" t="s">
        <v>844</v>
      </c>
      <c r="J500" s="453">
        <v>170.68</v>
      </c>
      <c r="K500" s="461">
        <v>56.33</v>
      </c>
      <c r="L500" s="461">
        <v>56.17</v>
      </c>
      <c r="M500" s="461">
        <v>58.18</v>
      </c>
      <c r="N500" s="461">
        <v>0</v>
      </c>
      <c r="O500" s="461">
        <v>0</v>
      </c>
      <c r="P500" s="461">
        <v>0</v>
      </c>
      <c r="Q500" s="461">
        <v>0</v>
      </c>
      <c r="R500" s="461">
        <v>0</v>
      </c>
      <c r="S500" s="461">
        <v>0</v>
      </c>
      <c r="T500" s="461">
        <v>0</v>
      </c>
      <c r="U500" s="461">
        <v>0</v>
      </c>
      <c r="V500" s="461">
        <v>0</v>
      </c>
    </row>
    <row r="501" spans="1:22" s="455" customFormat="1" hidden="1">
      <c r="A501" s="455" t="str">
        <f t="shared" si="14"/>
        <v>11419101201000</v>
      </c>
      <c r="B501" s="455">
        <f>VLOOKUP(LEFT($C$3:$C$2600,3),Table!$D$2:$E$88,2,FALSE)</f>
        <v>0</v>
      </c>
      <c r="C501" s="455" t="str">
        <f t="shared" si="15"/>
        <v>9101201000</v>
      </c>
      <c r="D501" s="455" t="e">
        <f>VLOOKUP(G501,Table!$G$3:$H$21,2,FALSE)</f>
        <v>#N/A</v>
      </c>
      <c r="E501" s="452" t="s">
        <v>902</v>
      </c>
      <c r="F501" s="452" t="s">
        <v>1220</v>
      </c>
      <c r="G501" s="452" t="s">
        <v>1091</v>
      </c>
      <c r="H501" s="452" t="s">
        <v>1092</v>
      </c>
      <c r="I501" s="453" t="s">
        <v>844</v>
      </c>
      <c r="J501" s="453">
        <v>13300</v>
      </c>
      <c r="K501" s="461">
        <v>4199</v>
      </c>
      <c r="L501" s="461">
        <v>4491</v>
      </c>
      <c r="M501" s="461">
        <v>4610</v>
      </c>
      <c r="N501" s="461">
        <v>0</v>
      </c>
      <c r="O501" s="461">
        <v>0</v>
      </c>
      <c r="P501" s="461">
        <v>0</v>
      </c>
      <c r="Q501" s="461">
        <v>0</v>
      </c>
      <c r="R501" s="461">
        <v>0</v>
      </c>
      <c r="S501" s="461">
        <v>0</v>
      </c>
      <c r="T501" s="461">
        <v>0</v>
      </c>
      <c r="U501" s="461">
        <v>0</v>
      </c>
      <c r="V501" s="461">
        <v>0</v>
      </c>
    </row>
    <row r="502" spans="1:22" s="455" customFormat="1" hidden="1">
      <c r="A502" s="455" t="str">
        <f t="shared" si="14"/>
        <v>11419152066011</v>
      </c>
      <c r="B502" s="455">
        <f>VLOOKUP(LEFT($C$3:$C$2600,3),Table!$D$2:$E$88,2,FALSE)</f>
        <v>0</v>
      </c>
      <c r="C502" s="455" t="str">
        <f t="shared" si="15"/>
        <v>9152066011</v>
      </c>
      <c r="D502" s="455" t="e">
        <f>VLOOKUP(G502,Table!$G$3:$H$21,2,FALSE)</f>
        <v>#N/A</v>
      </c>
      <c r="E502" s="452" t="s">
        <v>902</v>
      </c>
      <c r="F502" s="452" t="s">
        <v>1220</v>
      </c>
      <c r="G502" s="452" t="s">
        <v>1221</v>
      </c>
      <c r="H502" s="452" t="s">
        <v>1222</v>
      </c>
      <c r="I502" s="453" t="s">
        <v>844</v>
      </c>
      <c r="J502" s="453">
        <v>1685</v>
      </c>
      <c r="K502" s="461">
        <v>280</v>
      </c>
      <c r="L502" s="461">
        <v>0</v>
      </c>
      <c r="M502" s="461">
        <v>1405</v>
      </c>
      <c r="N502" s="461">
        <v>0</v>
      </c>
      <c r="O502" s="461">
        <v>0</v>
      </c>
      <c r="P502" s="461">
        <v>0</v>
      </c>
      <c r="Q502" s="461">
        <v>0</v>
      </c>
      <c r="R502" s="461">
        <v>0</v>
      </c>
      <c r="S502" s="461">
        <v>0</v>
      </c>
      <c r="T502" s="461">
        <v>0</v>
      </c>
      <c r="U502" s="461">
        <v>0</v>
      </c>
      <c r="V502" s="461">
        <v>0</v>
      </c>
    </row>
    <row r="503" spans="1:22" s="455" customFormat="1" hidden="1">
      <c r="A503" s="455" t="str">
        <f t="shared" si="14"/>
        <v>11419153001000</v>
      </c>
      <c r="B503" s="455">
        <f>VLOOKUP(LEFT($C$3:$C$2600,3),Table!$D$2:$E$88,2,FALSE)</f>
        <v>0</v>
      </c>
      <c r="C503" s="455" t="str">
        <f t="shared" si="15"/>
        <v>9153001000</v>
      </c>
      <c r="D503" s="455" t="e">
        <f>VLOOKUP(G503,Table!$G$3:$H$21,2,FALSE)</f>
        <v>#N/A</v>
      </c>
      <c r="E503" s="452" t="s">
        <v>902</v>
      </c>
      <c r="F503" s="452" t="s">
        <v>1220</v>
      </c>
      <c r="G503" s="452" t="s">
        <v>1043</v>
      </c>
      <c r="H503" s="452" t="s">
        <v>1044</v>
      </c>
      <c r="I503" s="453" t="s">
        <v>844</v>
      </c>
      <c r="J503" s="453">
        <v>9180</v>
      </c>
      <c r="K503" s="461">
        <v>3060</v>
      </c>
      <c r="L503" s="461">
        <v>3060</v>
      </c>
      <c r="M503" s="461">
        <v>3060</v>
      </c>
      <c r="N503" s="461">
        <v>0</v>
      </c>
      <c r="O503" s="461">
        <v>0</v>
      </c>
      <c r="P503" s="461">
        <v>0</v>
      </c>
      <c r="Q503" s="461">
        <v>0</v>
      </c>
      <c r="R503" s="461">
        <v>0</v>
      </c>
      <c r="S503" s="461">
        <v>0</v>
      </c>
      <c r="T503" s="461">
        <v>0</v>
      </c>
      <c r="U503" s="461">
        <v>0</v>
      </c>
      <c r="V503" s="461">
        <v>0</v>
      </c>
    </row>
    <row r="504" spans="1:22" s="455" customFormat="1" hidden="1">
      <c r="A504" s="455" t="str">
        <f t="shared" si="14"/>
        <v>11429101201000</v>
      </c>
      <c r="B504" s="455">
        <f>VLOOKUP(LEFT($C$3:$C$2600,3),Table!$D$2:$E$88,2,FALSE)</f>
        <v>0</v>
      </c>
      <c r="C504" s="455" t="str">
        <f t="shared" si="15"/>
        <v>9101201000</v>
      </c>
      <c r="D504" s="455" t="e">
        <f>VLOOKUP(G504,Table!$G$3:$H$21,2,FALSE)</f>
        <v>#N/A</v>
      </c>
      <c r="E504" s="452" t="s">
        <v>902</v>
      </c>
      <c r="F504" s="452" t="s">
        <v>1223</v>
      </c>
      <c r="G504" s="452" t="s">
        <v>1091</v>
      </c>
      <c r="H504" s="452" t="s">
        <v>1092</v>
      </c>
      <c r="I504" s="453" t="s">
        <v>844</v>
      </c>
      <c r="J504" s="453">
        <v>459</v>
      </c>
      <c r="K504" s="461">
        <v>233</v>
      </c>
      <c r="L504" s="461">
        <v>122</v>
      </c>
      <c r="M504" s="461">
        <v>104</v>
      </c>
      <c r="N504" s="461">
        <v>0</v>
      </c>
      <c r="O504" s="461">
        <v>0</v>
      </c>
      <c r="P504" s="461">
        <v>0</v>
      </c>
      <c r="Q504" s="461">
        <v>0</v>
      </c>
      <c r="R504" s="461">
        <v>0</v>
      </c>
      <c r="S504" s="461">
        <v>0</v>
      </c>
      <c r="T504" s="461">
        <v>0</v>
      </c>
      <c r="U504" s="461">
        <v>0</v>
      </c>
      <c r="V504" s="461">
        <v>0</v>
      </c>
    </row>
    <row r="505" spans="1:22" s="455" customFormat="1" hidden="1">
      <c r="A505" s="455" t="str">
        <f t="shared" si="14"/>
        <v>11429101302500</v>
      </c>
      <c r="B505" s="455">
        <f>VLOOKUP(LEFT($C$3:$C$2600,3),Table!$D$2:$E$88,2,FALSE)</f>
        <v>0</v>
      </c>
      <c r="C505" s="455" t="str">
        <f t="shared" si="15"/>
        <v>9101302500</v>
      </c>
      <c r="D505" s="455" t="e">
        <f>VLOOKUP(G505,Table!$G$3:$H$21,2,FALSE)</f>
        <v>#N/A</v>
      </c>
      <c r="E505" s="452" t="s">
        <v>902</v>
      </c>
      <c r="F505" s="452" t="s">
        <v>1223</v>
      </c>
      <c r="G505" s="452" t="s">
        <v>973</v>
      </c>
      <c r="H505" s="452" t="s">
        <v>974</v>
      </c>
      <c r="I505" s="453" t="s">
        <v>844</v>
      </c>
      <c r="J505" s="453">
        <v>321.5</v>
      </c>
      <c r="K505" s="461">
        <v>0</v>
      </c>
      <c r="L505" s="461">
        <v>26</v>
      </c>
      <c r="M505" s="461">
        <v>295.5</v>
      </c>
      <c r="N505" s="461">
        <v>0</v>
      </c>
      <c r="O505" s="461">
        <v>0</v>
      </c>
      <c r="P505" s="461">
        <v>0</v>
      </c>
      <c r="Q505" s="461">
        <v>0</v>
      </c>
      <c r="R505" s="461">
        <v>0</v>
      </c>
      <c r="S505" s="461">
        <v>0</v>
      </c>
      <c r="T505" s="461">
        <v>0</v>
      </c>
      <c r="U505" s="461">
        <v>0</v>
      </c>
      <c r="V505" s="461">
        <v>0</v>
      </c>
    </row>
    <row r="506" spans="1:22" s="455" customFormat="1" hidden="1">
      <c r="A506" s="455" t="str">
        <f t="shared" si="14"/>
        <v>11429152020212</v>
      </c>
      <c r="B506" s="455">
        <f>VLOOKUP(LEFT($C$3:$C$2600,3),Table!$D$2:$E$88,2,FALSE)</f>
        <v>0</v>
      </c>
      <c r="C506" s="455" t="str">
        <f t="shared" si="15"/>
        <v>9152020212</v>
      </c>
      <c r="D506" s="455" t="e">
        <f>VLOOKUP(G506,Table!$G$3:$H$21,2,FALSE)</f>
        <v>#N/A</v>
      </c>
      <c r="E506" s="452" t="s">
        <v>902</v>
      </c>
      <c r="F506" s="452" t="s">
        <v>1223</v>
      </c>
      <c r="G506" s="452" t="s">
        <v>1023</v>
      </c>
      <c r="H506" s="452" t="s">
        <v>1024</v>
      </c>
      <c r="I506" s="453" t="s">
        <v>844</v>
      </c>
      <c r="J506" s="453">
        <v>598</v>
      </c>
      <c r="K506" s="461">
        <v>80</v>
      </c>
      <c r="L506" s="461">
        <v>358</v>
      </c>
      <c r="M506" s="461">
        <v>160</v>
      </c>
      <c r="N506" s="461">
        <v>0</v>
      </c>
      <c r="O506" s="461">
        <v>0</v>
      </c>
      <c r="P506" s="461">
        <v>0</v>
      </c>
      <c r="Q506" s="461">
        <v>0</v>
      </c>
      <c r="R506" s="461">
        <v>0</v>
      </c>
      <c r="S506" s="461">
        <v>0</v>
      </c>
      <c r="T506" s="461">
        <v>0</v>
      </c>
      <c r="U506" s="461">
        <v>0</v>
      </c>
      <c r="V506" s="461">
        <v>0</v>
      </c>
    </row>
    <row r="507" spans="1:22" s="455" customFormat="1" hidden="1">
      <c r="A507" s="455" t="str">
        <f t="shared" si="14"/>
        <v>11429152066111</v>
      </c>
      <c r="B507" s="455">
        <f>VLOOKUP(LEFT($C$3:$C$2600,3),Table!$D$2:$E$88,2,FALSE)</f>
        <v>0</v>
      </c>
      <c r="C507" s="455" t="str">
        <f t="shared" si="15"/>
        <v>9152066111</v>
      </c>
      <c r="D507" s="455" t="e">
        <f>VLOOKUP(G507,Table!$G$3:$H$21,2,FALSE)</f>
        <v>#N/A</v>
      </c>
      <c r="E507" s="452" t="s">
        <v>902</v>
      </c>
      <c r="F507" s="452" t="s">
        <v>1223</v>
      </c>
      <c r="G507" s="452" t="s">
        <v>1224</v>
      </c>
      <c r="H507" s="452" t="s">
        <v>1225</v>
      </c>
      <c r="I507" s="453" t="s">
        <v>844</v>
      </c>
      <c r="J507" s="453">
        <v>680</v>
      </c>
      <c r="K507" s="461">
        <v>680</v>
      </c>
      <c r="L507" s="461">
        <v>0</v>
      </c>
      <c r="M507" s="461">
        <v>0</v>
      </c>
      <c r="N507" s="461">
        <v>0</v>
      </c>
      <c r="O507" s="461">
        <v>0</v>
      </c>
      <c r="P507" s="461">
        <v>0</v>
      </c>
      <c r="Q507" s="461">
        <v>0</v>
      </c>
      <c r="R507" s="461">
        <v>0</v>
      </c>
      <c r="S507" s="461">
        <v>0</v>
      </c>
      <c r="T507" s="461">
        <v>0</v>
      </c>
      <c r="U507" s="461">
        <v>0</v>
      </c>
      <c r="V507" s="461">
        <v>0</v>
      </c>
    </row>
    <row r="508" spans="1:22" s="455" customFormat="1" hidden="1">
      <c r="A508" s="455" t="str">
        <f t="shared" si="14"/>
        <v>11429153001000</v>
      </c>
      <c r="B508" s="455">
        <f>VLOOKUP(LEFT($C$3:$C$2600,3),Table!$D$2:$E$88,2,FALSE)</f>
        <v>0</v>
      </c>
      <c r="C508" s="455" t="str">
        <f t="shared" si="15"/>
        <v>9153001000</v>
      </c>
      <c r="D508" s="455" t="e">
        <f>VLOOKUP(G508,Table!$G$3:$H$21,2,FALSE)</f>
        <v>#N/A</v>
      </c>
      <c r="E508" s="452" t="s">
        <v>902</v>
      </c>
      <c r="F508" s="452" t="s">
        <v>1223</v>
      </c>
      <c r="G508" s="452" t="s">
        <v>1043</v>
      </c>
      <c r="H508" s="452" t="s">
        <v>1044</v>
      </c>
      <c r="I508" s="453" t="s">
        <v>844</v>
      </c>
      <c r="J508" s="453">
        <v>3171</v>
      </c>
      <c r="K508" s="461">
        <v>1057</v>
      </c>
      <c r="L508" s="461">
        <v>1057</v>
      </c>
      <c r="M508" s="461">
        <v>1057</v>
      </c>
      <c r="N508" s="461">
        <v>0</v>
      </c>
      <c r="O508" s="461">
        <v>0</v>
      </c>
      <c r="P508" s="461">
        <v>0</v>
      </c>
      <c r="Q508" s="461">
        <v>0</v>
      </c>
      <c r="R508" s="461">
        <v>0</v>
      </c>
      <c r="S508" s="461">
        <v>0</v>
      </c>
      <c r="T508" s="461">
        <v>0</v>
      </c>
      <c r="U508" s="461">
        <v>0</v>
      </c>
      <c r="V508" s="461">
        <v>0</v>
      </c>
    </row>
    <row r="509" spans="1:22" s="455" customFormat="1" hidden="1">
      <c r="A509" s="455" t="str">
        <f t="shared" si="14"/>
        <v>11439101101000</v>
      </c>
      <c r="B509" s="455">
        <f>VLOOKUP(LEFT($C$3:$C$2600,3),Table!$D$2:$E$88,2,FALSE)</f>
        <v>0</v>
      </c>
      <c r="C509" s="455" t="str">
        <f t="shared" si="15"/>
        <v>9101101000</v>
      </c>
      <c r="D509" s="455" t="e">
        <f>VLOOKUP(G509,Table!$G$3:$H$21,2,FALSE)</f>
        <v>#N/A</v>
      </c>
      <c r="E509" s="452" t="s">
        <v>902</v>
      </c>
      <c r="F509" s="452" t="s">
        <v>1226</v>
      </c>
      <c r="G509" s="452" t="s">
        <v>1067</v>
      </c>
      <c r="H509" s="452" t="s">
        <v>1068</v>
      </c>
      <c r="I509" s="453" t="s">
        <v>844</v>
      </c>
      <c r="J509" s="453">
        <v>7064.23</v>
      </c>
      <c r="K509" s="461">
        <v>2402.69</v>
      </c>
      <c r="L509" s="461">
        <v>2528.7399999999998</v>
      </c>
      <c r="M509" s="461">
        <v>2518.06</v>
      </c>
      <c r="N509" s="461">
        <v>0</v>
      </c>
      <c r="O509" s="461">
        <v>0</v>
      </c>
      <c r="P509" s="461">
        <v>0</v>
      </c>
      <c r="Q509" s="461">
        <v>0</v>
      </c>
      <c r="R509" s="461">
        <v>0</v>
      </c>
      <c r="S509" s="461">
        <v>0</v>
      </c>
      <c r="T509" s="461">
        <v>0</v>
      </c>
      <c r="U509" s="461">
        <v>0</v>
      </c>
      <c r="V509" s="461">
        <v>0</v>
      </c>
    </row>
    <row r="510" spans="1:22" s="455" customFormat="1" hidden="1">
      <c r="A510" s="455" t="str">
        <f t="shared" si="14"/>
        <v>11439101101100</v>
      </c>
      <c r="B510" s="455">
        <f>VLOOKUP(LEFT($C$3:$C$2600,3),Table!$D$2:$E$88,2,FALSE)</f>
        <v>0</v>
      </c>
      <c r="C510" s="455" t="str">
        <f t="shared" si="15"/>
        <v>9101101100</v>
      </c>
      <c r="D510" s="455" t="e">
        <f>VLOOKUP(G510,Table!$G$3:$H$21,2,FALSE)</f>
        <v>#N/A</v>
      </c>
      <c r="E510" s="452" t="s">
        <v>902</v>
      </c>
      <c r="F510" s="452" t="s">
        <v>1226</v>
      </c>
      <c r="G510" s="452" t="s">
        <v>1069</v>
      </c>
      <c r="H510" s="452" t="s">
        <v>1070</v>
      </c>
      <c r="I510" s="453" t="s">
        <v>844</v>
      </c>
      <c r="J510" s="453">
        <v>3029.23</v>
      </c>
      <c r="K510" s="461">
        <v>1086.0899999999999</v>
      </c>
      <c r="L510" s="461">
        <v>1130.54</v>
      </c>
      <c r="M510" s="461">
        <v>987.77</v>
      </c>
      <c r="N510" s="461">
        <v>0</v>
      </c>
      <c r="O510" s="461">
        <v>0</v>
      </c>
      <c r="P510" s="461">
        <v>0</v>
      </c>
      <c r="Q510" s="461">
        <v>0</v>
      </c>
      <c r="R510" s="461">
        <v>0</v>
      </c>
      <c r="S510" s="461">
        <v>0</v>
      </c>
      <c r="T510" s="461">
        <v>0</v>
      </c>
      <c r="U510" s="461">
        <v>0</v>
      </c>
      <c r="V510" s="461">
        <v>0</v>
      </c>
    </row>
    <row r="511" spans="1:22" s="455" customFormat="1" hidden="1">
      <c r="A511" s="455" t="str">
        <f t="shared" si="14"/>
        <v>11439101101200</v>
      </c>
      <c r="B511" s="455">
        <f>VLOOKUP(LEFT($C$3:$C$2600,3),Table!$D$2:$E$88,2,FALSE)</f>
        <v>0</v>
      </c>
      <c r="C511" s="455" t="str">
        <f t="shared" si="15"/>
        <v>9101101200</v>
      </c>
      <c r="D511" s="455" t="e">
        <f>VLOOKUP(G511,Table!$G$3:$H$21,2,FALSE)</f>
        <v>#N/A</v>
      </c>
      <c r="E511" s="452" t="s">
        <v>902</v>
      </c>
      <c r="F511" s="452" t="s">
        <v>1226</v>
      </c>
      <c r="G511" s="452" t="s">
        <v>1071</v>
      </c>
      <c r="H511" s="452" t="s">
        <v>1072</v>
      </c>
      <c r="I511" s="453" t="s">
        <v>844</v>
      </c>
      <c r="J511" s="453">
        <v>989.86</v>
      </c>
      <c r="K511" s="461">
        <v>390.13</v>
      </c>
      <c r="L511" s="461">
        <v>326.60000000000002</v>
      </c>
      <c r="M511" s="461">
        <v>273.13</v>
      </c>
      <c r="N511" s="461">
        <v>0</v>
      </c>
      <c r="O511" s="461">
        <v>0</v>
      </c>
      <c r="P511" s="461">
        <v>0</v>
      </c>
      <c r="Q511" s="461">
        <v>0</v>
      </c>
      <c r="R511" s="461">
        <v>0</v>
      </c>
      <c r="S511" s="461">
        <v>0</v>
      </c>
      <c r="T511" s="461">
        <v>0</v>
      </c>
      <c r="U511" s="461">
        <v>0</v>
      </c>
      <c r="V511" s="461">
        <v>0</v>
      </c>
    </row>
    <row r="512" spans="1:22" s="455" customFormat="1" hidden="1">
      <c r="A512" s="455" t="str">
        <f t="shared" si="14"/>
        <v>11439101101400</v>
      </c>
      <c r="B512" s="455">
        <f>VLOOKUP(LEFT($C$3:$C$2600,3),Table!$D$2:$E$88,2,FALSE)</f>
        <v>0</v>
      </c>
      <c r="C512" s="455" t="str">
        <f t="shared" si="15"/>
        <v>9101101400</v>
      </c>
      <c r="D512" s="455" t="e">
        <f>VLOOKUP(G512,Table!$G$3:$H$21,2,FALSE)</f>
        <v>#N/A</v>
      </c>
      <c r="E512" s="452" t="s">
        <v>902</v>
      </c>
      <c r="F512" s="452" t="s">
        <v>1226</v>
      </c>
      <c r="G512" s="452" t="s">
        <v>1075</v>
      </c>
      <c r="H512" s="452" t="s">
        <v>1076</v>
      </c>
      <c r="I512" s="453" t="s">
        <v>844</v>
      </c>
      <c r="J512" s="453">
        <v>1207</v>
      </c>
      <c r="K512" s="461">
        <v>405</v>
      </c>
      <c r="L512" s="461">
        <v>404</v>
      </c>
      <c r="M512" s="461">
        <v>398</v>
      </c>
      <c r="N512" s="461">
        <v>0</v>
      </c>
      <c r="O512" s="461">
        <v>0</v>
      </c>
      <c r="P512" s="461">
        <v>0</v>
      </c>
      <c r="Q512" s="461">
        <v>0</v>
      </c>
      <c r="R512" s="461">
        <v>0</v>
      </c>
      <c r="S512" s="461">
        <v>0</v>
      </c>
      <c r="T512" s="461">
        <v>0</v>
      </c>
      <c r="U512" s="461">
        <v>0</v>
      </c>
      <c r="V512" s="461">
        <v>0</v>
      </c>
    </row>
    <row r="513" spans="1:22" s="455" customFormat="1" hidden="1">
      <c r="A513" s="455" t="str">
        <f t="shared" si="14"/>
        <v>11439101101410</v>
      </c>
      <c r="B513" s="455">
        <f>VLOOKUP(LEFT($C$3:$C$2600,3),Table!$D$2:$E$88,2,FALSE)</f>
        <v>0</v>
      </c>
      <c r="C513" s="455" t="str">
        <f t="shared" si="15"/>
        <v>9101101410</v>
      </c>
      <c r="D513" s="455" t="e">
        <f>VLOOKUP(G513,Table!$G$3:$H$21,2,FALSE)</f>
        <v>#N/A</v>
      </c>
      <c r="E513" s="452" t="s">
        <v>902</v>
      </c>
      <c r="F513" s="452" t="s">
        <v>1226</v>
      </c>
      <c r="G513" s="452" t="s">
        <v>1077</v>
      </c>
      <c r="H513" s="452" t="s">
        <v>1078</v>
      </c>
      <c r="I513" s="453" t="s">
        <v>844</v>
      </c>
      <c r="J513" s="453">
        <v>45</v>
      </c>
      <c r="K513" s="461">
        <v>15</v>
      </c>
      <c r="L513" s="461">
        <v>15</v>
      </c>
      <c r="M513" s="461">
        <v>15</v>
      </c>
      <c r="N513" s="461">
        <v>0</v>
      </c>
      <c r="O513" s="461">
        <v>0</v>
      </c>
      <c r="P513" s="461">
        <v>0</v>
      </c>
      <c r="Q513" s="461">
        <v>0</v>
      </c>
      <c r="R513" s="461">
        <v>0</v>
      </c>
      <c r="S513" s="461">
        <v>0</v>
      </c>
      <c r="T513" s="461">
        <v>0</v>
      </c>
      <c r="U513" s="461">
        <v>0</v>
      </c>
      <c r="V513" s="461">
        <v>0</v>
      </c>
    </row>
    <row r="514" spans="1:22" s="455" customFormat="1" hidden="1">
      <c r="A514" s="455" t="str">
        <f t="shared" si="14"/>
        <v>11439101101500</v>
      </c>
      <c r="B514" s="455">
        <f>VLOOKUP(LEFT($C$3:$C$2600,3),Table!$D$2:$E$88,2,FALSE)</f>
        <v>0</v>
      </c>
      <c r="C514" s="455" t="str">
        <f t="shared" si="15"/>
        <v>9101101500</v>
      </c>
      <c r="D514" s="455" t="e">
        <f>VLOOKUP(G514,Table!$G$3:$H$21,2,FALSE)</f>
        <v>#N/A</v>
      </c>
      <c r="E514" s="452" t="s">
        <v>902</v>
      </c>
      <c r="F514" s="452" t="s">
        <v>1226</v>
      </c>
      <c r="G514" s="452" t="s">
        <v>1079</v>
      </c>
      <c r="H514" s="452" t="s">
        <v>1080</v>
      </c>
      <c r="I514" s="453" t="s">
        <v>844</v>
      </c>
      <c r="J514" s="453">
        <v>212.65</v>
      </c>
      <c r="K514" s="461">
        <v>70.95</v>
      </c>
      <c r="L514" s="461">
        <v>72.650000000000006</v>
      </c>
      <c r="M514" s="461">
        <v>69.05</v>
      </c>
      <c r="N514" s="461">
        <v>0</v>
      </c>
      <c r="O514" s="461">
        <v>0</v>
      </c>
      <c r="P514" s="461">
        <v>0</v>
      </c>
      <c r="Q514" s="461">
        <v>0</v>
      </c>
      <c r="R514" s="461">
        <v>0</v>
      </c>
      <c r="S514" s="461">
        <v>0</v>
      </c>
      <c r="T514" s="461">
        <v>0</v>
      </c>
      <c r="U514" s="461">
        <v>0</v>
      </c>
      <c r="V514" s="461">
        <v>0</v>
      </c>
    </row>
    <row r="515" spans="1:22" s="455" customFormat="1" hidden="1">
      <c r="A515" s="455" t="str">
        <f t="shared" si="14"/>
        <v>11439101101600</v>
      </c>
      <c r="B515" s="455">
        <f>VLOOKUP(LEFT($C$3:$C$2600,3),Table!$D$2:$E$88,2,FALSE)</f>
        <v>0</v>
      </c>
      <c r="C515" s="455" t="str">
        <f t="shared" si="15"/>
        <v>9101101600</v>
      </c>
      <c r="D515" s="455" t="e">
        <f>VLOOKUP(G515,Table!$G$3:$H$21,2,FALSE)</f>
        <v>#N/A</v>
      </c>
      <c r="E515" s="452" t="s">
        <v>902</v>
      </c>
      <c r="F515" s="452" t="s">
        <v>1226</v>
      </c>
      <c r="G515" s="452" t="s">
        <v>1081</v>
      </c>
      <c r="H515" s="452" t="s">
        <v>1082</v>
      </c>
      <c r="I515" s="453" t="s">
        <v>844</v>
      </c>
      <c r="J515" s="453">
        <v>1737.18</v>
      </c>
      <c r="K515" s="461">
        <v>579.05999999999995</v>
      </c>
      <c r="L515" s="461">
        <v>579.05999999999995</v>
      </c>
      <c r="M515" s="461">
        <v>579.05999999999995</v>
      </c>
      <c r="N515" s="461">
        <v>0</v>
      </c>
      <c r="O515" s="461">
        <v>0</v>
      </c>
      <c r="P515" s="461">
        <v>0</v>
      </c>
      <c r="Q515" s="461">
        <v>0</v>
      </c>
      <c r="R515" s="461">
        <v>0</v>
      </c>
      <c r="S515" s="461">
        <v>0</v>
      </c>
      <c r="T515" s="461">
        <v>0</v>
      </c>
      <c r="U515" s="461">
        <v>0</v>
      </c>
      <c r="V515" s="461">
        <v>0</v>
      </c>
    </row>
    <row r="516" spans="1:22" s="455" customFormat="1" hidden="1">
      <c r="A516" s="455" t="str">
        <f t="shared" ref="A516:A579" si="16">F516&amp;G516</f>
        <v>11439101101700</v>
      </c>
      <c r="B516" s="455">
        <f>VLOOKUP(LEFT($C$3:$C$2600,3),Table!$D$2:$E$88,2,FALSE)</f>
        <v>0</v>
      </c>
      <c r="C516" s="455" t="str">
        <f t="shared" ref="C516:C579" si="17">IF(ISNA(D516),G516,D516)</f>
        <v>9101101700</v>
      </c>
      <c r="D516" s="455" t="e">
        <f>VLOOKUP(G516,Table!$G$3:$H$21,2,FALSE)</f>
        <v>#N/A</v>
      </c>
      <c r="E516" s="452" t="s">
        <v>902</v>
      </c>
      <c r="F516" s="452" t="s">
        <v>1226</v>
      </c>
      <c r="G516" s="452" t="s">
        <v>1083</v>
      </c>
      <c r="H516" s="452" t="s">
        <v>1084</v>
      </c>
      <c r="I516" s="453" t="s">
        <v>844</v>
      </c>
      <c r="J516" s="453">
        <v>-1819.71</v>
      </c>
      <c r="K516" s="461">
        <v>72.349999999999994</v>
      </c>
      <c r="L516" s="461">
        <v>94.83</v>
      </c>
      <c r="M516" s="461">
        <v>53.64</v>
      </c>
      <c r="N516" s="461">
        <v>0</v>
      </c>
      <c r="O516" s="461">
        <v>0</v>
      </c>
      <c r="P516" s="461">
        <v>0</v>
      </c>
      <c r="Q516" s="461">
        <v>0</v>
      </c>
      <c r="R516" s="461">
        <v>0</v>
      </c>
      <c r="S516" s="461">
        <v>0</v>
      </c>
      <c r="T516" s="461">
        <v>0</v>
      </c>
      <c r="U516" s="461">
        <v>0</v>
      </c>
      <c r="V516" s="461">
        <v>0</v>
      </c>
    </row>
    <row r="517" spans="1:22" s="455" customFormat="1" hidden="1">
      <c r="A517" s="455" t="str">
        <f t="shared" si="16"/>
        <v>11439101101800</v>
      </c>
      <c r="B517" s="455">
        <f>VLOOKUP(LEFT($C$3:$C$2600,3),Table!$D$2:$E$88,2,FALSE)</f>
        <v>0</v>
      </c>
      <c r="C517" s="455" t="str">
        <f t="shared" si="17"/>
        <v>9101101800</v>
      </c>
      <c r="D517" s="455" t="e">
        <f>VLOOKUP(G517,Table!$G$3:$H$21,2,FALSE)</f>
        <v>#N/A</v>
      </c>
      <c r="E517" s="452" t="s">
        <v>902</v>
      </c>
      <c r="F517" s="452" t="s">
        <v>1226</v>
      </c>
      <c r="G517" s="452" t="s">
        <v>1085</v>
      </c>
      <c r="H517" s="452" t="s">
        <v>1086</v>
      </c>
      <c r="I517" s="453" t="s">
        <v>844</v>
      </c>
      <c r="J517" s="453">
        <v>1188.8</v>
      </c>
      <c r="K517" s="461">
        <v>406.2</v>
      </c>
      <c r="L517" s="461">
        <v>409.6</v>
      </c>
      <c r="M517" s="461">
        <v>373</v>
      </c>
      <c r="N517" s="461">
        <v>0</v>
      </c>
      <c r="O517" s="461">
        <v>0</v>
      </c>
      <c r="P517" s="461">
        <v>0</v>
      </c>
      <c r="Q517" s="461">
        <v>0</v>
      </c>
      <c r="R517" s="461">
        <v>0</v>
      </c>
      <c r="S517" s="461">
        <v>0</v>
      </c>
      <c r="T517" s="461">
        <v>0</v>
      </c>
      <c r="U517" s="461">
        <v>0</v>
      </c>
      <c r="V517" s="461">
        <v>0</v>
      </c>
    </row>
    <row r="518" spans="1:22" s="455" customFormat="1" hidden="1">
      <c r="A518" s="455" t="str">
        <f t="shared" si="16"/>
        <v>11439101101900</v>
      </c>
      <c r="B518" s="455">
        <f>VLOOKUP(LEFT($C$3:$C$2600,3),Table!$D$2:$E$88,2,FALSE)</f>
        <v>0</v>
      </c>
      <c r="C518" s="455" t="str">
        <f t="shared" si="17"/>
        <v>9101101900</v>
      </c>
      <c r="D518" s="455" t="e">
        <f>VLOOKUP(G518,Table!$G$3:$H$21,2,FALSE)</f>
        <v>#N/A</v>
      </c>
      <c r="E518" s="452" t="s">
        <v>902</v>
      </c>
      <c r="F518" s="452" t="s">
        <v>1226</v>
      </c>
      <c r="G518" s="452" t="s">
        <v>1087</v>
      </c>
      <c r="H518" s="452" t="s">
        <v>1088</v>
      </c>
      <c r="I518" s="453" t="s">
        <v>844</v>
      </c>
      <c r="J518" s="453">
        <v>86.86</v>
      </c>
      <c r="K518" s="461">
        <v>29.27</v>
      </c>
      <c r="L518" s="461">
        <v>28.76</v>
      </c>
      <c r="M518" s="461">
        <v>28.83</v>
      </c>
      <c r="N518" s="461">
        <v>0</v>
      </c>
      <c r="O518" s="461">
        <v>0</v>
      </c>
      <c r="P518" s="461">
        <v>0</v>
      </c>
      <c r="Q518" s="461">
        <v>0</v>
      </c>
      <c r="R518" s="461">
        <v>0</v>
      </c>
      <c r="S518" s="461">
        <v>0</v>
      </c>
      <c r="T518" s="461">
        <v>0</v>
      </c>
      <c r="U518" s="461">
        <v>0</v>
      </c>
      <c r="V518" s="461">
        <v>0</v>
      </c>
    </row>
    <row r="519" spans="1:22" s="455" customFormat="1" hidden="1">
      <c r="A519" s="455" t="str">
        <f t="shared" si="16"/>
        <v>11439101201000</v>
      </c>
      <c r="B519" s="455">
        <f>VLOOKUP(LEFT($C$3:$C$2600,3),Table!$D$2:$E$88,2,FALSE)</f>
        <v>0</v>
      </c>
      <c r="C519" s="455" t="str">
        <f t="shared" si="17"/>
        <v>9101201000</v>
      </c>
      <c r="D519" s="455" t="e">
        <f>VLOOKUP(G519,Table!$G$3:$H$21,2,FALSE)</f>
        <v>#N/A</v>
      </c>
      <c r="E519" s="452" t="s">
        <v>902</v>
      </c>
      <c r="F519" s="452" t="s">
        <v>1226</v>
      </c>
      <c r="G519" s="452" t="s">
        <v>1091</v>
      </c>
      <c r="H519" s="452" t="s">
        <v>1092</v>
      </c>
      <c r="I519" s="453" t="s">
        <v>844</v>
      </c>
      <c r="J519" s="453">
        <v>1756</v>
      </c>
      <c r="K519" s="461">
        <v>553</v>
      </c>
      <c r="L519" s="461">
        <v>611</v>
      </c>
      <c r="M519" s="461">
        <v>592</v>
      </c>
      <c r="N519" s="461">
        <v>0</v>
      </c>
      <c r="O519" s="461">
        <v>0</v>
      </c>
      <c r="P519" s="461">
        <v>0</v>
      </c>
      <c r="Q519" s="461">
        <v>0</v>
      </c>
      <c r="R519" s="461">
        <v>0</v>
      </c>
      <c r="S519" s="461">
        <v>0</v>
      </c>
      <c r="T519" s="461">
        <v>0</v>
      </c>
      <c r="U519" s="461">
        <v>0</v>
      </c>
      <c r="V519" s="461">
        <v>0</v>
      </c>
    </row>
    <row r="520" spans="1:22" s="455" customFormat="1" hidden="1">
      <c r="A520" s="455" t="str">
        <f t="shared" si="16"/>
        <v>11439101302500</v>
      </c>
      <c r="B520" s="455">
        <f>VLOOKUP(LEFT($C$3:$C$2600,3),Table!$D$2:$E$88,2,FALSE)</f>
        <v>0</v>
      </c>
      <c r="C520" s="455" t="str">
        <f t="shared" si="17"/>
        <v>9101302500</v>
      </c>
      <c r="D520" s="455" t="e">
        <f>VLOOKUP(G520,Table!$G$3:$H$21,2,FALSE)</f>
        <v>#N/A</v>
      </c>
      <c r="E520" s="452" t="s">
        <v>902</v>
      </c>
      <c r="F520" s="452" t="s">
        <v>1226</v>
      </c>
      <c r="G520" s="452" t="s">
        <v>973</v>
      </c>
      <c r="H520" s="452" t="s">
        <v>974</v>
      </c>
      <c r="I520" s="453" t="s">
        <v>844</v>
      </c>
      <c r="J520" s="453">
        <v>9949</v>
      </c>
      <c r="K520" s="461">
        <v>0</v>
      </c>
      <c r="L520" s="461">
        <v>8444</v>
      </c>
      <c r="M520" s="461">
        <v>1505</v>
      </c>
      <c r="N520" s="461">
        <v>0</v>
      </c>
      <c r="O520" s="461">
        <v>0</v>
      </c>
      <c r="P520" s="461">
        <v>0</v>
      </c>
      <c r="Q520" s="461">
        <v>0</v>
      </c>
      <c r="R520" s="461">
        <v>0</v>
      </c>
      <c r="S520" s="461">
        <v>0</v>
      </c>
      <c r="T520" s="461">
        <v>0</v>
      </c>
      <c r="U520" s="461">
        <v>0</v>
      </c>
      <c r="V520" s="461">
        <v>0</v>
      </c>
    </row>
    <row r="521" spans="1:22" s="455" customFormat="1" hidden="1">
      <c r="A521" s="455" t="str">
        <f t="shared" si="16"/>
        <v>11439152020212</v>
      </c>
      <c r="B521" s="455">
        <f>VLOOKUP(LEFT($C$3:$C$2600,3),Table!$D$2:$E$88,2,FALSE)</f>
        <v>0</v>
      </c>
      <c r="C521" s="455" t="str">
        <f t="shared" si="17"/>
        <v>9152020212</v>
      </c>
      <c r="D521" s="455" t="e">
        <f>VLOOKUP(G521,Table!$G$3:$H$21,2,FALSE)</f>
        <v>#N/A</v>
      </c>
      <c r="E521" s="452" t="s">
        <v>902</v>
      </c>
      <c r="F521" s="452" t="s">
        <v>1226</v>
      </c>
      <c r="G521" s="452" t="s">
        <v>1023</v>
      </c>
      <c r="H521" s="452" t="s">
        <v>1024</v>
      </c>
      <c r="I521" s="453" t="s">
        <v>844</v>
      </c>
      <c r="J521" s="453">
        <v>444</v>
      </c>
      <c r="K521" s="461">
        <v>0</v>
      </c>
      <c r="L521" s="461">
        <v>666</v>
      </c>
      <c r="M521" s="461">
        <v>1032</v>
      </c>
      <c r="N521" s="461">
        <v>0</v>
      </c>
      <c r="O521" s="461">
        <v>0</v>
      </c>
      <c r="P521" s="461">
        <v>0</v>
      </c>
      <c r="Q521" s="461">
        <v>0</v>
      </c>
      <c r="R521" s="461">
        <v>0</v>
      </c>
      <c r="S521" s="461">
        <v>0</v>
      </c>
      <c r="T521" s="461">
        <v>0</v>
      </c>
      <c r="U521" s="461">
        <v>0</v>
      </c>
      <c r="V521" s="461">
        <v>0</v>
      </c>
    </row>
    <row r="522" spans="1:22" s="455" customFormat="1" hidden="1">
      <c r="A522" s="455" t="str">
        <f t="shared" si="16"/>
        <v>11439152066221</v>
      </c>
      <c r="B522" s="455">
        <f>VLOOKUP(LEFT($C$3:$C$2600,3),Table!$D$2:$E$88,2,FALSE)</f>
        <v>0</v>
      </c>
      <c r="C522" s="455" t="str">
        <f t="shared" si="17"/>
        <v>9152066221</v>
      </c>
      <c r="D522" s="455" t="e">
        <f>VLOOKUP(G522,Table!$G$3:$H$21,2,FALSE)</f>
        <v>#N/A</v>
      </c>
      <c r="E522" s="452" t="s">
        <v>902</v>
      </c>
      <c r="F522" s="452" t="s">
        <v>1226</v>
      </c>
      <c r="G522" s="452" t="s">
        <v>1227</v>
      </c>
      <c r="H522" s="452" t="s">
        <v>1228</v>
      </c>
      <c r="I522" s="453" t="s">
        <v>844</v>
      </c>
      <c r="J522" s="453">
        <v>3135.8</v>
      </c>
      <c r="K522" s="461">
        <v>800</v>
      </c>
      <c r="L522" s="461">
        <v>3135.8</v>
      </c>
      <c r="M522" s="461">
        <v>-800</v>
      </c>
      <c r="N522" s="461">
        <v>0</v>
      </c>
      <c r="O522" s="461">
        <v>0</v>
      </c>
      <c r="P522" s="461">
        <v>0</v>
      </c>
      <c r="Q522" s="461">
        <v>0</v>
      </c>
      <c r="R522" s="461">
        <v>0</v>
      </c>
      <c r="S522" s="461">
        <v>0</v>
      </c>
      <c r="T522" s="461">
        <v>0</v>
      </c>
      <c r="U522" s="461">
        <v>0</v>
      </c>
      <c r="V522" s="461">
        <v>0</v>
      </c>
    </row>
    <row r="523" spans="1:22" s="455" customFormat="1" hidden="1">
      <c r="A523" s="455" t="str">
        <f t="shared" si="16"/>
        <v>11439152066311</v>
      </c>
      <c r="B523" s="455">
        <f>VLOOKUP(LEFT($C$3:$C$2600,3),Table!$D$2:$E$88,2,FALSE)</f>
        <v>0</v>
      </c>
      <c r="C523" s="455" t="str">
        <f t="shared" si="17"/>
        <v>9152066311</v>
      </c>
      <c r="D523" s="455" t="e">
        <f>VLOOKUP(G523,Table!$G$3:$H$21,2,FALSE)</f>
        <v>#N/A</v>
      </c>
      <c r="E523" s="452" t="s">
        <v>902</v>
      </c>
      <c r="F523" s="452" t="s">
        <v>1226</v>
      </c>
      <c r="G523" s="452" t="s">
        <v>1229</v>
      </c>
      <c r="H523" s="452" t="s">
        <v>1230</v>
      </c>
      <c r="I523" s="453" t="s">
        <v>844</v>
      </c>
      <c r="J523" s="453">
        <v>4071.6</v>
      </c>
      <c r="K523" s="461">
        <v>1240</v>
      </c>
      <c r="L523" s="461">
        <v>0</v>
      </c>
      <c r="M523" s="461">
        <v>3827.6</v>
      </c>
      <c r="N523" s="461">
        <v>0</v>
      </c>
      <c r="O523" s="461">
        <v>0</v>
      </c>
      <c r="P523" s="461">
        <v>0</v>
      </c>
      <c r="Q523" s="461">
        <v>0</v>
      </c>
      <c r="R523" s="461">
        <v>0</v>
      </c>
      <c r="S523" s="461">
        <v>0</v>
      </c>
      <c r="T523" s="461">
        <v>0</v>
      </c>
      <c r="U523" s="461">
        <v>0</v>
      </c>
      <c r="V523" s="461">
        <v>0</v>
      </c>
    </row>
    <row r="524" spans="1:22" s="455" customFormat="1" hidden="1">
      <c r="A524" s="455" t="str">
        <f t="shared" si="16"/>
        <v>11439152066321</v>
      </c>
      <c r="B524" s="455">
        <f>VLOOKUP(LEFT($C$3:$C$2600,3),Table!$D$2:$E$88,2,FALSE)</f>
        <v>0</v>
      </c>
      <c r="C524" s="455" t="str">
        <f t="shared" si="17"/>
        <v>9152066321</v>
      </c>
      <c r="D524" s="455" t="e">
        <f>VLOOKUP(G524,Table!$G$3:$H$21,2,FALSE)</f>
        <v>#N/A</v>
      </c>
      <c r="E524" s="452" t="s">
        <v>902</v>
      </c>
      <c r="F524" s="452" t="s">
        <v>1226</v>
      </c>
      <c r="G524" s="452" t="s">
        <v>1231</v>
      </c>
      <c r="H524" s="452" t="s">
        <v>1232</v>
      </c>
      <c r="I524" s="453" t="s">
        <v>844</v>
      </c>
      <c r="J524" s="453">
        <v>2715</v>
      </c>
      <c r="K524" s="461">
        <v>0</v>
      </c>
      <c r="L524" s="461">
        <v>750</v>
      </c>
      <c r="M524" s="461">
        <v>1965</v>
      </c>
      <c r="N524" s="461">
        <v>0</v>
      </c>
      <c r="O524" s="461">
        <v>0</v>
      </c>
      <c r="P524" s="461">
        <v>0</v>
      </c>
      <c r="Q524" s="461">
        <v>0</v>
      </c>
      <c r="R524" s="461">
        <v>0</v>
      </c>
      <c r="S524" s="461">
        <v>0</v>
      </c>
      <c r="T524" s="461">
        <v>0</v>
      </c>
      <c r="U524" s="461">
        <v>0</v>
      </c>
      <c r="V524" s="461">
        <v>0</v>
      </c>
    </row>
    <row r="525" spans="1:22" s="455" customFormat="1" hidden="1">
      <c r="A525" s="455" t="str">
        <f t="shared" si="16"/>
        <v>11439152090000</v>
      </c>
      <c r="B525" s="455">
        <f>VLOOKUP(LEFT($C$3:$C$2600,3),Table!$D$2:$E$88,2,FALSE)</f>
        <v>0</v>
      </c>
      <c r="C525" s="455" t="str">
        <f t="shared" si="17"/>
        <v>9152090000</v>
      </c>
      <c r="D525" s="455" t="e">
        <f>VLOOKUP(G525,Table!$G$3:$H$21,2,FALSE)</f>
        <v>#N/A</v>
      </c>
      <c r="E525" s="452" t="s">
        <v>902</v>
      </c>
      <c r="F525" s="452" t="s">
        <v>1226</v>
      </c>
      <c r="G525" s="452" t="s">
        <v>1033</v>
      </c>
      <c r="H525" s="452" t="s">
        <v>1034</v>
      </c>
      <c r="I525" s="453" t="s">
        <v>844</v>
      </c>
      <c r="J525" s="453">
        <v>5077.5</v>
      </c>
      <c r="K525" s="461">
        <v>0</v>
      </c>
      <c r="L525" s="461">
        <v>2250</v>
      </c>
      <c r="M525" s="461">
        <v>2827.5</v>
      </c>
      <c r="N525" s="461">
        <v>0</v>
      </c>
      <c r="O525" s="461">
        <v>0</v>
      </c>
      <c r="P525" s="461">
        <v>0</v>
      </c>
      <c r="Q525" s="461">
        <v>0</v>
      </c>
      <c r="R525" s="461">
        <v>0</v>
      </c>
      <c r="S525" s="461">
        <v>0</v>
      </c>
      <c r="T525" s="461">
        <v>0</v>
      </c>
      <c r="U525" s="461">
        <v>0</v>
      </c>
      <c r="V525" s="461">
        <v>0</v>
      </c>
    </row>
    <row r="526" spans="1:22" s="455" customFormat="1" hidden="1">
      <c r="A526" s="455" t="str">
        <f t="shared" si="16"/>
        <v>11439153001000</v>
      </c>
      <c r="B526" s="455">
        <f>VLOOKUP(LEFT($C$3:$C$2600,3),Table!$D$2:$E$88,2,FALSE)</f>
        <v>0</v>
      </c>
      <c r="C526" s="455" t="str">
        <f t="shared" si="17"/>
        <v>9153001000</v>
      </c>
      <c r="D526" s="455" t="e">
        <f>VLOOKUP(G526,Table!$G$3:$H$21,2,FALSE)</f>
        <v>#N/A</v>
      </c>
      <c r="E526" s="452" t="s">
        <v>902</v>
      </c>
      <c r="F526" s="452" t="s">
        <v>1226</v>
      </c>
      <c r="G526" s="452" t="s">
        <v>1043</v>
      </c>
      <c r="H526" s="452" t="s">
        <v>1044</v>
      </c>
      <c r="I526" s="453" t="s">
        <v>844</v>
      </c>
      <c r="J526" s="453">
        <v>81040</v>
      </c>
      <c r="K526" s="461">
        <v>30444</v>
      </c>
      <c r="L526" s="461">
        <v>30444</v>
      </c>
      <c r="M526" s="461">
        <v>20152</v>
      </c>
      <c r="N526" s="461">
        <v>0</v>
      </c>
      <c r="O526" s="461">
        <v>0</v>
      </c>
      <c r="P526" s="461">
        <v>0</v>
      </c>
      <c r="Q526" s="461">
        <v>0</v>
      </c>
      <c r="R526" s="461">
        <v>0</v>
      </c>
      <c r="S526" s="461">
        <v>0</v>
      </c>
      <c r="T526" s="461">
        <v>0</v>
      </c>
      <c r="U526" s="461">
        <v>0</v>
      </c>
      <c r="V526" s="461">
        <v>0</v>
      </c>
    </row>
    <row r="527" spans="1:22" s="455" customFormat="1" hidden="1">
      <c r="A527" s="455" t="str">
        <f t="shared" si="16"/>
        <v>11449100900000</v>
      </c>
      <c r="B527" s="455">
        <f>VLOOKUP(LEFT($C$3:$C$2600,3),Table!$D$2:$E$88,2,FALSE)</f>
        <v>0</v>
      </c>
      <c r="C527" s="455" t="str">
        <f t="shared" si="17"/>
        <v>9100900000</v>
      </c>
      <c r="D527" s="455" t="e">
        <f>VLOOKUP(G527,Table!$G$3:$H$21,2,FALSE)</f>
        <v>#N/A</v>
      </c>
      <c r="E527" s="452" t="s">
        <v>902</v>
      </c>
      <c r="F527" s="452" t="s">
        <v>1233</v>
      </c>
      <c r="G527" s="452" t="s">
        <v>965</v>
      </c>
      <c r="H527" s="452" t="s">
        <v>966</v>
      </c>
      <c r="I527" s="453" t="s">
        <v>844</v>
      </c>
      <c r="J527" s="453">
        <v>10043.75</v>
      </c>
      <c r="K527" s="461">
        <v>-2430</v>
      </c>
      <c r="L527" s="461">
        <v>5813.75</v>
      </c>
      <c r="M527" s="461">
        <v>6660</v>
      </c>
      <c r="N527" s="461">
        <v>0</v>
      </c>
      <c r="O527" s="461">
        <v>0</v>
      </c>
      <c r="P527" s="461">
        <v>0</v>
      </c>
      <c r="Q527" s="461">
        <v>0</v>
      </c>
      <c r="R527" s="461">
        <v>0</v>
      </c>
      <c r="S527" s="461">
        <v>0</v>
      </c>
      <c r="T527" s="461">
        <v>0</v>
      </c>
      <c r="U527" s="461">
        <v>0</v>
      </c>
      <c r="V527" s="461">
        <v>0</v>
      </c>
    </row>
    <row r="528" spans="1:22" s="455" customFormat="1" hidden="1">
      <c r="A528" s="455" t="str">
        <f t="shared" si="16"/>
        <v>11449101101000</v>
      </c>
      <c r="B528" s="455">
        <f>VLOOKUP(LEFT($C$3:$C$2600,3),Table!$D$2:$E$88,2,FALSE)</f>
        <v>0</v>
      </c>
      <c r="C528" s="455" t="str">
        <f t="shared" si="17"/>
        <v>9101101000</v>
      </c>
      <c r="D528" s="455" t="e">
        <f>VLOOKUP(G528,Table!$G$3:$H$21,2,FALSE)</f>
        <v>#N/A</v>
      </c>
      <c r="E528" s="452" t="s">
        <v>902</v>
      </c>
      <c r="F528" s="452" t="s">
        <v>1233</v>
      </c>
      <c r="G528" s="452" t="s">
        <v>1067</v>
      </c>
      <c r="H528" s="452" t="s">
        <v>1068</v>
      </c>
      <c r="I528" s="453" t="s">
        <v>844</v>
      </c>
      <c r="J528" s="453">
        <v>20913.400000000001</v>
      </c>
      <c r="K528" s="461">
        <v>7402.95</v>
      </c>
      <c r="L528" s="461">
        <v>6215.83</v>
      </c>
      <c r="M528" s="461">
        <v>8551.17</v>
      </c>
      <c r="N528" s="461">
        <v>0</v>
      </c>
      <c r="O528" s="461">
        <v>0</v>
      </c>
      <c r="P528" s="461">
        <v>0</v>
      </c>
      <c r="Q528" s="461">
        <v>0</v>
      </c>
      <c r="R528" s="461">
        <v>0</v>
      </c>
      <c r="S528" s="461">
        <v>0</v>
      </c>
      <c r="T528" s="461">
        <v>0</v>
      </c>
      <c r="U528" s="461">
        <v>0</v>
      </c>
      <c r="V528" s="461">
        <v>0</v>
      </c>
    </row>
    <row r="529" spans="1:22" s="455" customFormat="1" hidden="1">
      <c r="A529" s="455" t="str">
        <f t="shared" si="16"/>
        <v>11449101101100</v>
      </c>
      <c r="B529" s="455">
        <f>VLOOKUP(LEFT($C$3:$C$2600,3),Table!$D$2:$E$88,2,FALSE)</f>
        <v>0</v>
      </c>
      <c r="C529" s="455" t="str">
        <f t="shared" si="17"/>
        <v>9101101100</v>
      </c>
      <c r="D529" s="455" t="e">
        <f>VLOOKUP(G529,Table!$G$3:$H$21,2,FALSE)</f>
        <v>#N/A</v>
      </c>
      <c r="E529" s="452" t="s">
        <v>902</v>
      </c>
      <c r="F529" s="452" t="s">
        <v>1233</v>
      </c>
      <c r="G529" s="452" t="s">
        <v>1069</v>
      </c>
      <c r="H529" s="452" t="s">
        <v>1070</v>
      </c>
      <c r="I529" s="453" t="s">
        <v>844</v>
      </c>
      <c r="J529" s="453">
        <v>5130.5</v>
      </c>
      <c r="K529" s="461">
        <v>2251.86</v>
      </c>
      <c r="L529" s="461">
        <v>1900.26</v>
      </c>
      <c r="M529" s="461">
        <v>1226.5</v>
      </c>
      <c r="N529" s="461">
        <v>0</v>
      </c>
      <c r="O529" s="461">
        <v>0</v>
      </c>
      <c r="P529" s="461">
        <v>0</v>
      </c>
      <c r="Q529" s="461">
        <v>0</v>
      </c>
      <c r="R529" s="461">
        <v>0</v>
      </c>
      <c r="S529" s="461">
        <v>0</v>
      </c>
      <c r="T529" s="461">
        <v>0</v>
      </c>
      <c r="U529" s="461">
        <v>0</v>
      </c>
      <c r="V529" s="461">
        <v>0</v>
      </c>
    </row>
    <row r="530" spans="1:22" s="455" customFormat="1" hidden="1">
      <c r="A530" s="455" t="str">
        <f t="shared" si="16"/>
        <v>11449101101200</v>
      </c>
      <c r="B530" s="455">
        <f>VLOOKUP(LEFT($C$3:$C$2600,3),Table!$D$2:$E$88,2,FALSE)</f>
        <v>0</v>
      </c>
      <c r="C530" s="455" t="str">
        <f t="shared" si="17"/>
        <v>9101101200</v>
      </c>
      <c r="D530" s="455" t="e">
        <f>VLOOKUP(G530,Table!$G$3:$H$21,2,FALSE)</f>
        <v>#N/A</v>
      </c>
      <c r="E530" s="452" t="s">
        <v>902</v>
      </c>
      <c r="F530" s="452" t="s">
        <v>1233</v>
      </c>
      <c r="G530" s="452" t="s">
        <v>1071</v>
      </c>
      <c r="H530" s="452" t="s">
        <v>1072</v>
      </c>
      <c r="I530" s="453" t="s">
        <v>844</v>
      </c>
      <c r="J530" s="453">
        <v>2876.95</v>
      </c>
      <c r="K530" s="461">
        <v>982.79</v>
      </c>
      <c r="L530" s="461">
        <v>959.93</v>
      </c>
      <c r="M530" s="461">
        <v>934.23</v>
      </c>
      <c r="N530" s="461">
        <v>0</v>
      </c>
      <c r="O530" s="461">
        <v>0</v>
      </c>
      <c r="P530" s="461">
        <v>0</v>
      </c>
      <c r="Q530" s="461">
        <v>0</v>
      </c>
      <c r="R530" s="461">
        <v>0</v>
      </c>
      <c r="S530" s="461">
        <v>0</v>
      </c>
      <c r="T530" s="461">
        <v>0</v>
      </c>
      <c r="U530" s="461">
        <v>0</v>
      </c>
      <c r="V530" s="461">
        <v>0</v>
      </c>
    </row>
    <row r="531" spans="1:22" s="455" customFormat="1" hidden="1">
      <c r="A531" s="455" t="str">
        <f t="shared" si="16"/>
        <v>11449101101400</v>
      </c>
      <c r="B531" s="455">
        <f>VLOOKUP(LEFT($C$3:$C$2600,3),Table!$D$2:$E$88,2,FALSE)</f>
        <v>0</v>
      </c>
      <c r="C531" s="455" t="str">
        <f t="shared" si="17"/>
        <v>9101101400</v>
      </c>
      <c r="D531" s="455" t="e">
        <f>VLOOKUP(G531,Table!$G$3:$H$21,2,FALSE)</f>
        <v>#N/A</v>
      </c>
      <c r="E531" s="452" t="s">
        <v>902</v>
      </c>
      <c r="F531" s="452" t="s">
        <v>1233</v>
      </c>
      <c r="G531" s="452" t="s">
        <v>1075</v>
      </c>
      <c r="H531" s="452" t="s">
        <v>1076</v>
      </c>
      <c r="I531" s="453" t="s">
        <v>844</v>
      </c>
      <c r="J531" s="453">
        <v>3170</v>
      </c>
      <c r="K531" s="461">
        <v>991</v>
      </c>
      <c r="L531" s="461">
        <v>987</v>
      </c>
      <c r="M531" s="461">
        <v>1192</v>
      </c>
      <c r="N531" s="461">
        <v>0</v>
      </c>
      <c r="O531" s="461">
        <v>0</v>
      </c>
      <c r="P531" s="461">
        <v>0</v>
      </c>
      <c r="Q531" s="461">
        <v>0</v>
      </c>
      <c r="R531" s="461">
        <v>0</v>
      </c>
      <c r="S531" s="461">
        <v>0</v>
      </c>
      <c r="T531" s="461">
        <v>0</v>
      </c>
      <c r="U531" s="461">
        <v>0</v>
      </c>
      <c r="V531" s="461">
        <v>0</v>
      </c>
    </row>
    <row r="532" spans="1:22" s="455" customFormat="1" hidden="1">
      <c r="A532" s="455" t="str">
        <f t="shared" si="16"/>
        <v>11449101101410</v>
      </c>
      <c r="B532" s="455">
        <f>VLOOKUP(LEFT($C$3:$C$2600,3),Table!$D$2:$E$88,2,FALSE)</f>
        <v>0</v>
      </c>
      <c r="C532" s="455" t="str">
        <f t="shared" si="17"/>
        <v>9101101410</v>
      </c>
      <c r="D532" s="455" t="e">
        <f>VLOOKUP(G532,Table!$G$3:$H$21,2,FALSE)</f>
        <v>#N/A</v>
      </c>
      <c r="E532" s="452" t="s">
        <v>902</v>
      </c>
      <c r="F532" s="452" t="s">
        <v>1233</v>
      </c>
      <c r="G532" s="452" t="s">
        <v>1077</v>
      </c>
      <c r="H532" s="452" t="s">
        <v>1078</v>
      </c>
      <c r="I532" s="453" t="s">
        <v>844</v>
      </c>
      <c r="J532" s="453">
        <v>60</v>
      </c>
      <c r="K532" s="461">
        <v>15</v>
      </c>
      <c r="L532" s="461">
        <v>15</v>
      </c>
      <c r="M532" s="461">
        <v>30</v>
      </c>
      <c r="N532" s="461">
        <v>0</v>
      </c>
      <c r="O532" s="461">
        <v>0</v>
      </c>
      <c r="P532" s="461">
        <v>0</v>
      </c>
      <c r="Q532" s="461">
        <v>0</v>
      </c>
      <c r="R532" s="461">
        <v>0</v>
      </c>
      <c r="S532" s="461">
        <v>0</v>
      </c>
      <c r="T532" s="461">
        <v>0</v>
      </c>
      <c r="U532" s="461">
        <v>0</v>
      </c>
      <c r="V532" s="461">
        <v>0</v>
      </c>
    </row>
    <row r="533" spans="1:22" s="455" customFormat="1" hidden="1">
      <c r="A533" s="455" t="str">
        <f t="shared" si="16"/>
        <v>11449101101500</v>
      </c>
      <c r="B533" s="455">
        <f>VLOOKUP(LEFT($C$3:$C$2600,3),Table!$D$2:$E$88,2,FALSE)</f>
        <v>0</v>
      </c>
      <c r="C533" s="455" t="str">
        <f t="shared" si="17"/>
        <v>9101101500</v>
      </c>
      <c r="D533" s="455" t="e">
        <f>VLOOKUP(G533,Table!$G$3:$H$21,2,FALSE)</f>
        <v>#N/A</v>
      </c>
      <c r="E533" s="452" t="s">
        <v>902</v>
      </c>
      <c r="F533" s="452" t="s">
        <v>1233</v>
      </c>
      <c r="G533" s="452" t="s">
        <v>1079</v>
      </c>
      <c r="H533" s="452" t="s">
        <v>1080</v>
      </c>
      <c r="I533" s="453" t="s">
        <v>844</v>
      </c>
      <c r="J533" s="453">
        <v>432.2</v>
      </c>
      <c r="K533" s="461">
        <v>135.55000000000001</v>
      </c>
      <c r="L533" s="461">
        <v>139.25</v>
      </c>
      <c r="M533" s="461">
        <v>157.4</v>
      </c>
      <c r="N533" s="461">
        <v>0</v>
      </c>
      <c r="O533" s="461">
        <v>0</v>
      </c>
      <c r="P533" s="461">
        <v>0</v>
      </c>
      <c r="Q533" s="461">
        <v>0</v>
      </c>
      <c r="R533" s="461">
        <v>0</v>
      </c>
      <c r="S533" s="461">
        <v>0</v>
      </c>
      <c r="T533" s="461">
        <v>0</v>
      </c>
      <c r="U533" s="461">
        <v>0</v>
      </c>
      <c r="V533" s="461">
        <v>0</v>
      </c>
    </row>
    <row r="534" spans="1:22" s="455" customFormat="1" hidden="1">
      <c r="A534" s="455" t="str">
        <f t="shared" si="16"/>
        <v>11449101101600</v>
      </c>
      <c r="B534" s="455">
        <f>VLOOKUP(LEFT($C$3:$C$2600,3),Table!$D$2:$E$88,2,FALSE)</f>
        <v>0</v>
      </c>
      <c r="C534" s="455" t="str">
        <f t="shared" si="17"/>
        <v>9101101600</v>
      </c>
      <c r="D534" s="455" t="e">
        <f>VLOOKUP(G534,Table!$G$3:$H$21,2,FALSE)</f>
        <v>#N/A</v>
      </c>
      <c r="E534" s="452" t="s">
        <v>902</v>
      </c>
      <c r="F534" s="452" t="s">
        <v>1233</v>
      </c>
      <c r="G534" s="452" t="s">
        <v>1081</v>
      </c>
      <c r="H534" s="452" t="s">
        <v>1082</v>
      </c>
      <c r="I534" s="453" t="s">
        <v>844</v>
      </c>
      <c r="J534" s="453">
        <v>5672.67</v>
      </c>
      <c r="K534" s="461">
        <v>1807.84</v>
      </c>
      <c r="L534" s="461">
        <v>1807.84</v>
      </c>
      <c r="M534" s="461">
        <v>2056.9899999999998</v>
      </c>
      <c r="N534" s="461">
        <v>0</v>
      </c>
      <c r="O534" s="461">
        <v>0</v>
      </c>
      <c r="P534" s="461">
        <v>0</v>
      </c>
      <c r="Q534" s="461">
        <v>0</v>
      </c>
      <c r="R534" s="461">
        <v>0</v>
      </c>
      <c r="S534" s="461">
        <v>0</v>
      </c>
      <c r="T534" s="461">
        <v>0</v>
      </c>
      <c r="U534" s="461">
        <v>0</v>
      </c>
      <c r="V534" s="461">
        <v>0</v>
      </c>
    </row>
    <row r="535" spans="1:22" s="455" customFormat="1" hidden="1">
      <c r="A535" s="455" t="str">
        <f t="shared" si="16"/>
        <v>11449101101700</v>
      </c>
      <c r="B535" s="455">
        <f>VLOOKUP(LEFT($C$3:$C$2600,3),Table!$D$2:$E$88,2,FALSE)</f>
        <v>0</v>
      </c>
      <c r="C535" s="455" t="str">
        <f t="shared" si="17"/>
        <v>9101101700</v>
      </c>
      <c r="D535" s="455" t="e">
        <f>VLOOKUP(G535,Table!$G$3:$H$21,2,FALSE)</f>
        <v>#N/A</v>
      </c>
      <c r="E535" s="452" t="s">
        <v>902</v>
      </c>
      <c r="F535" s="452" t="s">
        <v>1233</v>
      </c>
      <c r="G535" s="452" t="s">
        <v>1083</v>
      </c>
      <c r="H535" s="452" t="s">
        <v>1084</v>
      </c>
      <c r="I535" s="453" t="s">
        <v>844</v>
      </c>
      <c r="J535" s="453">
        <v>-6183.67</v>
      </c>
      <c r="K535" s="461">
        <v>470.99</v>
      </c>
      <c r="L535" s="461">
        <v>330.83</v>
      </c>
      <c r="M535" s="461">
        <v>1043.43</v>
      </c>
      <c r="N535" s="461">
        <v>0</v>
      </c>
      <c r="O535" s="461">
        <v>0</v>
      </c>
      <c r="P535" s="461">
        <v>0</v>
      </c>
      <c r="Q535" s="461">
        <v>0</v>
      </c>
      <c r="R535" s="461">
        <v>0</v>
      </c>
      <c r="S535" s="461">
        <v>0</v>
      </c>
      <c r="T535" s="461">
        <v>0</v>
      </c>
      <c r="U535" s="461">
        <v>0</v>
      </c>
      <c r="V535" s="461">
        <v>0</v>
      </c>
    </row>
    <row r="536" spans="1:22" s="455" customFormat="1" hidden="1">
      <c r="A536" s="455" t="str">
        <f t="shared" si="16"/>
        <v>11449101101800</v>
      </c>
      <c r="B536" s="455">
        <f>VLOOKUP(LEFT($C$3:$C$2600,3),Table!$D$2:$E$88,2,FALSE)</f>
        <v>0</v>
      </c>
      <c r="C536" s="455" t="str">
        <f t="shared" si="17"/>
        <v>9101101800</v>
      </c>
      <c r="D536" s="455" t="e">
        <f>VLOOKUP(G536,Table!$G$3:$H$21,2,FALSE)</f>
        <v>#N/A</v>
      </c>
      <c r="E536" s="452" t="s">
        <v>902</v>
      </c>
      <c r="F536" s="452" t="s">
        <v>1233</v>
      </c>
      <c r="G536" s="452" t="s">
        <v>1085</v>
      </c>
      <c r="H536" s="452" t="s">
        <v>1086</v>
      </c>
      <c r="I536" s="453" t="s">
        <v>844</v>
      </c>
      <c r="J536" s="453">
        <v>2347.3000000000002</v>
      </c>
      <c r="K536" s="461">
        <v>854.8</v>
      </c>
      <c r="L536" s="461">
        <v>668.3</v>
      </c>
      <c r="M536" s="461">
        <v>824.2</v>
      </c>
      <c r="N536" s="461">
        <v>0</v>
      </c>
      <c r="O536" s="461">
        <v>0</v>
      </c>
      <c r="P536" s="461">
        <v>0</v>
      </c>
      <c r="Q536" s="461">
        <v>0</v>
      </c>
      <c r="R536" s="461">
        <v>0</v>
      </c>
      <c r="S536" s="461">
        <v>0</v>
      </c>
      <c r="T536" s="461">
        <v>0</v>
      </c>
      <c r="U536" s="461">
        <v>0</v>
      </c>
      <c r="V536" s="461">
        <v>0</v>
      </c>
    </row>
    <row r="537" spans="1:22" s="455" customFormat="1" hidden="1">
      <c r="A537" s="455" t="str">
        <f t="shared" si="16"/>
        <v>11449101101900</v>
      </c>
      <c r="B537" s="455">
        <f>VLOOKUP(LEFT($C$3:$C$2600,3),Table!$D$2:$E$88,2,FALSE)</f>
        <v>0</v>
      </c>
      <c r="C537" s="455" t="str">
        <f t="shared" si="17"/>
        <v>9101101900</v>
      </c>
      <c r="D537" s="455" t="e">
        <f>VLOOKUP(G537,Table!$G$3:$H$21,2,FALSE)</f>
        <v>#N/A</v>
      </c>
      <c r="E537" s="452" t="s">
        <v>902</v>
      </c>
      <c r="F537" s="452" t="s">
        <v>1233</v>
      </c>
      <c r="G537" s="452" t="s">
        <v>1087</v>
      </c>
      <c r="H537" s="452" t="s">
        <v>1088</v>
      </c>
      <c r="I537" s="453" t="s">
        <v>844</v>
      </c>
      <c r="J537" s="453">
        <v>262.27</v>
      </c>
      <c r="K537" s="461">
        <v>82.83</v>
      </c>
      <c r="L537" s="461">
        <v>82.86</v>
      </c>
      <c r="M537" s="461">
        <v>96.58</v>
      </c>
      <c r="N537" s="461">
        <v>0</v>
      </c>
      <c r="O537" s="461">
        <v>0</v>
      </c>
      <c r="P537" s="461">
        <v>0</v>
      </c>
      <c r="Q537" s="461">
        <v>0</v>
      </c>
      <c r="R537" s="461">
        <v>0</v>
      </c>
      <c r="S537" s="461">
        <v>0</v>
      </c>
      <c r="T537" s="461">
        <v>0</v>
      </c>
      <c r="U537" s="461">
        <v>0</v>
      </c>
      <c r="V537" s="461">
        <v>0</v>
      </c>
    </row>
    <row r="538" spans="1:22" s="455" customFormat="1" hidden="1">
      <c r="A538" s="455" t="str">
        <f t="shared" si="16"/>
        <v>11449101201000</v>
      </c>
      <c r="B538" s="455">
        <f>VLOOKUP(LEFT($C$3:$C$2600,3),Table!$D$2:$E$88,2,FALSE)</f>
        <v>0</v>
      </c>
      <c r="C538" s="455" t="str">
        <f t="shared" si="17"/>
        <v>9101201000</v>
      </c>
      <c r="D538" s="455" t="e">
        <f>VLOOKUP(G538,Table!$G$3:$H$21,2,FALSE)</f>
        <v>#N/A</v>
      </c>
      <c r="E538" s="452" t="s">
        <v>902</v>
      </c>
      <c r="F538" s="452" t="s">
        <v>1233</v>
      </c>
      <c r="G538" s="452" t="s">
        <v>1091</v>
      </c>
      <c r="H538" s="452" t="s">
        <v>1092</v>
      </c>
      <c r="I538" s="453" t="s">
        <v>844</v>
      </c>
      <c r="J538" s="453">
        <v>23</v>
      </c>
      <c r="K538" s="461">
        <v>22</v>
      </c>
      <c r="L538" s="461">
        <v>1</v>
      </c>
      <c r="M538" s="461">
        <v>0</v>
      </c>
      <c r="N538" s="461">
        <v>0</v>
      </c>
      <c r="O538" s="461">
        <v>0</v>
      </c>
      <c r="P538" s="461">
        <v>0</v>
      </c>
      <c r="Q538" s="461">
        <v>0</v>
      </c>
      <c r="R538" s="461">
        <v>0</v>
      </c>
      <c r="S538" s="461">
        <v>0</v>
      </c>
      <c r="T538" s="461">
        <v>0</v>
      </c>
      <c r="U538" s="461">
        <v>0</v>
      </c>
      <c r="V538" s="461">
        <v>0</v>
      </c>
    </row>
    <row r="539" spans="1:22" s="455" customFormat="1" hidden="1">
      <c r="A539" s="455" t="str">
        <f t="shared" si="16"/>
        <v>11449101302500</v>
      </c>
      <c r="B539" s="455">
        <f>VLOOKUP(LEFT($C$3:$C$2600,3),Table!$D$2:$E$88,2,FALSE)</f>
        <v>0</v>
      </c>
      <c r="C539" s="455" t="str">
        <f t="shared" si="17"/>
        <v>9101302500</v>
      </c>
      <c r="D539" s="455" t="e">
        <f>VLOOKUP(G539,Table!$G$3:$H$21,2,FALSE)</f>
        <v>#N/A</v>
      </c>
      <c r="E539" s="452" t="s">
        <v>902</v>
      </c>
      <c r="F539" s="452" t="s">
        <v>1233</v>
      </c>
      <c r="G539" s="452" t="s">
        <v>973</v>
      </c>
      <c r="H539" s="452" t="s">
        <v>974</v>
      </c>
      <c r="I539" s="453" t="s">
        <v>844</v>
      </c>
      <c r="J539" s="453">
        <v>810</v>
      </c>
      <c r="K539" s="461">
        <v>0</v>
      </c>
      <c r="L539" s="461">
        <v>810</v>
      </c>
      <c r="M539" s="461">
        <v>0</v>
      </c>
      <c r="N539" s="461">
        <v>0</v>
      </c>
      <c r="O539" s="461">
        <v>0</v>
      </c>
      <c r="P539" s="461">
        <v>0</v>
      </c>
      <c r="Q539" s="461">
        <v>0</v>
      </c>
      <c r="R539" s="461">
        <v>0</v>
      </c>
      <c r="S539" s="461">
        <v>0</v>
      </c>
      <c r="T539" s="461">
        <v>0</v>
      </c>
      <c r="U539" s="461">
        <v>0</v>
      </c>
      <c r="V539" s="461">
        <v>0</v>
      </c>
    </row>
    <row r="540" spans="1:22" s="455" customFormat="1" hidden="1">
      <c r="A540" s="455" t="str">
        <f t="shared" si="16"/>
        <v>11449152020212</v>
      </c>
      <c r="B540" s="455">
        <f>VLOOKUP(LEFT($C$3:$C$2600,3),Table!$D$2:$E$88,2,FALSE)</f>
        <v>0</v>
      </c>
      <c r="C540" s="455" t="str">
        <f t="shared" si="17"/>
        <v>9152020212</v>
      </c>
      <c r="D540" s="455" t="e">
        <f>VLOOKUP(G540,Table!$G$3:$H$21,2,FALSE)</f>
        <v>#N/A</v>
      </c>
      <c r="E540" s="452" t="s">
        <v>902</v>
      </c>
      <c r="F540" s="452" t="s">
        <v>1233</v>
      </c>
      <c r="G540" s="452" t="s">
        <v>1023</v>
      </c>
      <c r="H540" s="452" t="s">
        <v>1024</v>
      </c>
      <c r="I540" s="453" t="s">
        <v>844</v>
      </c>
      <c r="J540" s="453">
        <v>856</v>
      </c>
      <c r="K540" s="461">
        <v>3184</v>
      </c>
      <c r="L540" s="461">
        <v>636</v>
      </c>
      <c r="M540" s="461">
        <v>1422</v>
      </c>
      <c r="N540" s="461">
        <v>0</v>
      </c>
      <c r="O540" s="461">
        <v>0</v>
      </c>
      <c r="P540" s="461">
        <v>0</v>
      </c>
      <c r="Q540" s="461">
        <v>0</v>
      </c>
      <c r="R540" s="461">
        <v>0</v>
      </c>
      <c r="S540" s="461">
        <v>0</v>
      </c>
      <c r="T540" s="461">
        <v>0</v>
      </c>
      <c r="U540" s="461">
        <v>0</v>
      </c>
      <c r="V540" s="461">
        <v>0</v>
      </c>
    </row>
    <row r="541" spans="1:22" s="455" customFormat="1" hidden="1">
      <c r="A541" s="455" t="str">
        <f t="shared" si="16"/>
        <v>11449152066411</v>
      </c>
      <c r="B541" s="455">
        <f>VLOOKUP(LEFT($C$3:$C$2600,3),Table!$D$2:$E$88,2,FALSE)</f>
        <v>0</v>
      </c>
      <c r="C541" s="455" t="str">
        <f t="shared" si="17"/>
        <v>9152066411</v>
      </c>
      <c r="D541" s="455" t="e">
        <f>VLOOKUP(G541,Table!$G$3:$H$21,2,FALSE)</f>
        <v>#N/A</v>
      </c>
      <c r="E541" s="452" t="s">
        <v>902</v>
      </c>
      <c r="F541" s="452" t="s">
        <v>1233</v>
      </c>
      <c r="G541" s="452" t="s">
        <v>1234</v>
      </c>
      <c r="H541" s="452" t="s">
        <v>1235</v>
      </c>
      <c r="I541" s="453" t="s">
        <v>844</v>
      </c>
      <c r="J541" s="453">
        <v>6760</v>
      </c>
      <c r="K541" s="461">
        <v>2700</v>
      </c>
      <c r="L541" s="461">
        <v>700</v>
      </c>
      <c r="M541" s="461">
        <v>4060</v>
      </c>
      <c r="N541" s="461">
        <v>0</v>
      </c>
      <c r="O541" s="461">
        <v>0</v>
      </c>
      <c r="P541" s="461">
        <v>0</v>
      </c>
      <c r="Q541" s="461">
        <v>0</v>
      </c>
      <c r="R541" s="461">
        <v>0</v>
      </c>
      <c r="S541" s="461">
        <v>0</v>
      </c>
      <c r="T541" s="461">
        <v>0</v>
      </c>
      <c r="U541" s="461">
        <v>0</v>
      </c>
      <c r="V541" s="461">
        <v>0</v>
      </c>
    </row>
    <row r="542" spans="1:22" s="455" customFormat="1" hidden="1">
      <c r="A542" s="455" t="str">
        <f t="shared" si="16"/>
        <v>11469101201000</v>
      </c>
      <c r="B542" s="455">
        <f>VLOOKUP(LEFT($C$3:$C$2600,3),Table!$D$2:$E$88,2,FALSE)</f>
        <v>0</v>
      </c>
      <c r="C542" s="455" t="str">
        <f t="shared" si="17"/>
        <v>9101201000</v>
      </c>
      <c r="D542" s="455" t="e">
        <f>VLOOKUP(G542,Table!$G$3:$H$21,2,FALSE)</f>
        <v>#N/A</v>
      </c>
      <c r="E542" s="452" t="s">
        <v>902</v>
      </c>
      <c r="F542" s="452" t="s">
        <v>1236</v>
      </c>
      <c r="G542" s="452" t="s">
        <v>1091</v>
      </c>
      <c r="H542" s="452" t="s">
        <v>1092</v>
      </c>
      <c r="I542" s="453" t="s">
        <v>844</v>
      </c>
      <c r="J542" s="453">
        <v>22</v>
      </c>
      <c r="K542" s="461">
        <v>22</v>
      </c>
      <c r="L542" s="461">
        <v>0</v>
      </c>
      <c r="M542" s="461">
        <v>0</v>
      </c>
      <c r="N542" s="461">
        <v>0</v>
      </c>
      <c r="O542" s="461">
        <v>0</v>
      </c>
      <c r="P542" s="461">
        <v>0</v>
      </c>
      <c r="Q542" s="461">
        <v>0</v>
      </c>
      <c r="R542" s="461">
        <v>0</v>
      </c>
      <c r="S542" s="461">
        <v>0</v>
      </c>
      <c r="T542" s="461">
        <v>0</v>
      </c>
      <c r="U542" s="461">
        <v>0</v>
      </c>
      <c r="V542" s="461">
        <v>0</v>
      </c>
    </row>
    <row r="543" spans="1:22" s="455" customFormat="1" hidden="1">
      <c r="A543" s="455" t="str">
        <f t="shared" si="16"/>
        <v>11469152066611</v>
      </c>
      <c r="B543" s="455">
        <f>VLOOKUP(LEFT($C$3:$C$2600,3),Table!$D$2:$E$88,2,FALSE)</f>
        <v>0</v>
      </c>
      <c r="C543" s="455" t="str">
        <f t="shared" si="17"/>
        <v>9152066611</v>
      </c>
      <c r="D543" s="455" t="e">
        <f>VLOOKUP(G543,Table!$G$3:$H$21,2,FALSE)</f>
        <v>#N/A</v>
      </c>
      <c r="E543" s="452" t="s">
        <v>902</v>
      </c>
      <c r="F543" s="452" t="s">
        <v>1236</v>
      </c>
      <c r="G543" s="452" t="s">
        <v>1237</v>
      </c>
      <c r="H543" s="452" t="s">
        <v>1238</v>
      </c>
      <c r="I543" s="453" t="s">
        <v>844</v>
      </c>
      <c r="J543" s="453">
        <v>6366.2</v>
      </c>
      <c r="K543" s="461">
        <v>0</v>
      </c>
      <c r="L543" s="461">
        <v>1946.2</v>
      </c>
      <c r="M543" s="461">
        <v>4420</v>
      </c>
      <c r="N543" s="461">
        <v>0</v>
      </c>
      <c r="O543" s="461">
        <v>0</v>
      </c>
      <c r="P543" s="461">
        <v>0</v>
      </c>
      <c r="Q543" s="461">
        <v>0</v>
      </c>
      <c r="R543" s="461">
        <v>0</v>
      </c>
      <c r="S543" s="461">
        <v>0</v>
      </c>
      <c r="T543" s="461">
        <v>0</v>
      </c>
      <c r="U543" s="461">
        <v>0</v>
      </c>
      <c r="V543" s="461">
        <v>0</v>
      </c>
    </row>
    <row r="544" spans="1:22" s="455" customFormat="1" hidden="1">
      <c r="A544" s="455" t="str">
        <f t="shared" si="16"/>
        <v>11469152066621</v>
      </c>
      <c r="B544" s="455">
        <f>VLOOKUP(LEFT($C$3:$C$2600,3),Table!$D$2:$E$88,2,FALSE)</f>
        <v>0</v>
      </c>
      <c r="C544" s="455" t="str">
        <f t="shared" si="17"/>
        <v>9152066621</v>
      </c>
      <c r="D544" s="455" t="e">
        <f>VLOOKUP(G544,Table!$G$3:$H$21,2,FALSE)</f>
        <v>#N/A</v>
      </c>
      <c r="E544" s="452" t="s">
        <v>902</v>
      </c>
      <c r="F544" s="452" t="s">
        <v>1236</v>
      </c>
      <c r="G544" s="452" t="s">
        <v>2543</v>
      </c>
      <c r="H544" s="452" t="s">
        <v>2544</v>
      </c>
      <c r="I544" s="453" t="s">
        <v>844</v>
      </c>
      <c r="J544" s="453">
        <v>450</v>
      </c>
      <c r="K544" s="461">
        <v>0</v>
      </c>
      <c r="L544" s="461">
        <v>450</v>
      </c>
      <c r="M544" s="461">
        <v>0</v>
      </c>
      <c r="N544" s="461">
        <v>0</v>
      </c>
      <c r="O544" s="461">
        <v>0</v>
      </c>
      <c r="P544" s="461">
        <v>0</v>
      </c>
      <c r="Q544" s="461">
        <v>0</v>
      </c>
      <c r="R544" s="461">
        <v>0</v>
      </c>
      <c r="S544" s="461">
        <v>0</v>
      </c>
      <c r="T544" s="461">
        <v>0</v>
      </c>
      <c r="U544" s="461">
        <v>0</v>
      </c>
      <c r="V544" s="461">
        <v>0</v>
      </c>
    </row>
    <row r="545" spans="1:22" s="455" customFormat="1" hidden="1">
      <c r="A545" s="455" t="str">
        <f t="shared" si="16"/>
        <v>11469153001000</v>
      </c>
      <c r="B545" s="455">
        <f>VLOOKUP(LEFT($C$3:$C$2600,3),Table!$D$2:$E$88,2,FALSE)</f>
        <v>0</v>
      </c>
      <c r="C545" s="455" t="str">
        <f t="shared" si="17"/>
        <v>9153001000</v>
      </c>
      <c r="D545" s="455" t="e">
        <f>VLOOKUP(G545,Table!$G$3:$H$21,2,FALSE)</f>
        <v>#N/A</v>
      </c>
      <c r="E545" s="452" t="s">
        <v>902</v>
      </c>
      <c r="F545" s="452" t="s">
        <v>1236</v>
      </c>
      <c r="G545" s="452" t="s">
        <v>1043</v>
      </c>
      <c r="H545" s="452" t="s">
        <v>1044</v>
      </c>
      <c r="I545" s="453" t="s">
        <v>844</v>
      </c>
      <c r="J545" s="453">
        <v>1833</v>
      </c>
      <c r="K545" s="461">
        <v>611</v>
      </c>
      <c r="L545" s="461">
        <v>611</v>
      </c>
      <c r="M545" s="461">
        <v>611</v>
      </c>
      <c r="N545" s="461">
        <v>0</v>
      </c>
      <c r="O545" s="461">
        <v>0</v>
      </c>
      <c r="P545" s="461">
        <v>0</v>
      </c>
      <c r="Q545" s="461">
        <v>0</v>
      </c>
      <c r="R545" s="461">
        <v>0</v>
      </c>
      <c r="S545" s="461">
        <v>0</v>
      </c>
      <c r="T545" s="461">
        <v>0</v>
      </c>
      <c r="U545" s="461">
        <v>0</v>
      </c>
      <c r="V545" s="461">
        <v>0</v>
      </c>
    </row>
    <row r="546" spans="1:22" s="455" customFormat="1" hidden="1">
      <c r="A546" s="455" t="str">
        <f t="shared" si="16"/>
        <v>11479101001000</v>
      </c>
      <c r="B546" s="455">
        <f>VLOOKUP(LEFT($C$3:$C$2600,3),Table!$D$2:$E$88,2,FALSE)</f>
        <v>0</v>
      </c>
      <c r="C546" s="455" t="str">
        <f t="shared" si="17"/>
        <v>9101001000</v>
      </c>
      <c r="D546" s="455" t="e">
        <f>VLOOKUP(G546,Table!$G$3:$H$21,2,FALSE)</f>
        <v>#N/A</v>
      </c>
      <c r="E546" s="452" t="s">
        <v>902</v>
      </c>
      <c r="F546" s="452" t="s">
        <v>1239</v>
      </c>
      <c r="G546" s="452" t="s">
        <v>1046</v>
      </c>
      <c r="H546" s="452" t="s">
        <v>1047</v>
      </c>
      <c r="I546" s="453" t="s">
        <v>844</v>
      </c>
      <c r="J546" s="453">
        <v>4948.6000000000004</v>
      </c>
      <c r="K546" s="461">
        <v>0</v>
      </c>
      <c r="L546" s="461">
        <v>2474.3000000000002</v>
      </c>
      <c r="M546" s="461">
        <v>2474.3000000000002</v>
      </c>
      <c r="N546" s="461">
        <v>0</v>
      </c>
      <c r="O546" s="461">
        <v>0</v>
      </c>
      <c r="P546" s="461">
        <v>0</v>
      </c>
      <c r="Q546" s="461">
        <v>0</v>
      </c>
      <c r="R546" s="461">
        <v>0</v>
      </c>
      <c r="S546" s="461">
        <v>0</v>
      </c>
      <c r="T546" s="461">
        <v>0</v>
      </c>
      <c r="U546" s="461">
        <v>0</v>
      </c>
      <c r="V546" s="461">
        <v>0</v>
      </c>
    </row>
    <row r="547" spans="1:22" s="455" customFormat="1" hidden="1">
      <c r="A547" s="455" t="str">
        <f t="shared" si="16"/>
        <v>11479101001100</v>
      </c>
      <c r="B547" s="455">
        <f>VLOOKUP(LEFT($C$3:$C$2600,3),Table!$D$2:$E$88,2,FALSE)</f>
        <v>0</v>
      </c>
      <c r="C547" s="455" t="str">
        <f t="shared" si="17"/>
        <v>9101001100</v>
      </c>
      <c r="D547" s="455" t="e">
        <f>VLOOKUP(G547,Table!$G$3:$H$21,2,FALSE)</f>
        <v>#N/A</v>
      </c>
      <c r="E547" s="452" t="s">
        <v>902</v>
      </c>
      <c r="F547" s="452" t="s">
        <v>1239</v>
      </c>
      <c r="G547" s="452" t="s">
        <v>1048</v>
      </c>
      <c r="H547" s="452" t="s">
        <v>1049</v>
      </c>
      <c r="I547" s="453" t="s">
        <v>844</v>
      </c>
      <c r="J547" s="453">
        <v>323.88</v>
      </c>
      <c r="K547" s="461">
        <v>0</v>
      </c>
      <c r="L547" s="461">
        <v>0</v>
      </c>
      <c r="M547" s="461">
        <v>373.71</v>
      </c>
      <c r="N547" s="461">
        <v>0</v>
      </c>
      <c r="O547" s="461">
        <v>0</v>
      </c>
      <c r="P547" s="461">
        <v>0</v>
      </c>
      <c r="Q547" s="461">
        <v>0</v>
      </c>
      <c r="R547" s="461">
        <v>0</v>
      </c>
      <c r="S547" s="461">
        <v>0</v>
      </c>
      <c r="T547" s="461">
        <v>0</v>
      </c>
      <c r="U547" s="461">
        <v>0</v>
      </c>
      <c r="V547" s="461">
        <v>0</v>
      </c>
    </row>
    <row r="548" spans="1:22" s="455" customFormat="1" hidden="1">
      <c r="A548" s="455" t="str">
        <f t="shared" si="16"/>
        <v>11479101001200</v>
      </c>
      <c r="B548" s="455">
        <f>VLOOKUP(LEFT($C$3:$C$2600,3),Table!$D$2:$E$88,2,FALSE)</f>
        <v>0</v>
      </c>
      <c r="C548" s="455" t="str">
        <f t="shared" si="17"/>
        <v>9101001200</v>
      </c>
      <c r="D548" s="455" t="e">
        <f>VLOOKUP(G548,Table!$G$3:$H$21,2,FALSE)</f>
        <v>#N/A</v>
      </c>
      <c r="E548" s="452" t="s">
        <v>902</v>
      </c>
      <c r="F548" s="452" t="s">
        <v>1239</v>
      </c>
      <c r="G548" s="452" t="s">
        <v>1050</v>
      </c>
      <c r="H548" s="452" t="s">
        <v>1051</v>
      </c>
      <c r="I548" s="453" t="s">
        <v>844</v>
      </c>
      <c r="J548" s="453">
        <v>495.18</v>
      </c>
      <c r="K548" s="461">
        <v>0</v>
      </c>
      <c r="L548" s="461">
        <v>247.59</v>
      </c>
      <c r="M548" s="461">
        <v>247.59</v>
      </c>
      <c r="N548" s="461">
        <v>0</v>
      </c>
      <c r="O548" s="461">
        <v>0</v>
      </c>
      <c r="P548" s="461">
        <v>0</v>
      </c>
      <c r="Q548" s="461">
        <v>0</v>
      </c>
      <c r="R548" s="461">
        <v>0</v>
      </c>
      <c r="S548" s="461">
        <v>0</v>
      </c>
      <c r="T548" s="461">
        <v>0</v>
      </c>
      <c r="U548" s="461">
        <v>0</v>
      </c>
      <c r="V548" s="461">
        <v>0</v>
      </c>
    </row>
    <row r="549" spans="1:22" s="455" customFormat="1" hidden="1">
      <c r="A549" s="455" t="str">
        <f t="shared" si="16"/>
        <v>11479101001400</v>
      </c>
      <c r="B549" s="455">
        <f>VLOOKUP(LEFT($C$3:$C$2600,3),Table!$D$2:$E$88,2,FALSE)</f>
        <v>0</v>
      </c>
      <c r="C549" s="455" t="str">
        <f t="shared" si="17"/>
        <v>9101001400</v>
      </c>
      <c r="D549" s="455" t="e">
        <f>VLOOKUP(G549,Table!$G$3:$H$21,2,FALSE)</f>
        <v>#N/A</v>
      </c>
      <c r="E549" s="452" t="s">
        <v>902</v>
      </c>
      <c r="F549" s="452" t="s">
        <v>1239</v>
      </c>
      <c r="G549" s="452" t="s">
        <v>1054</v>
      </c>
      <c r="H549" s="452" t="s">
        <v>1055</v>
      </c>
      <c r="I549" s="453" t="s">
        <v>844</v>
      </c>
      <c r="J549" s="453">
        <v>824</v>
      </c>
      <c r="K549" s="461">
        <v>0</v>
      </c>
      <c r="L549" s="461">
        <v>409</v>
      </c>
      <c r="M549" s="461">
        <v>415</v>
      </c>
      <c r="N549" s="461">
        <v>0</v>
      </c>
      <c r="O549" s="461">
        <v>0</v>
      </c>
      <c r="P549" s="461">
        <v>0</v>
      </c>
      <c r="Q549" s="461">
        <v>0</v>
      </c>
      <c r="R549" s="461">
        <v>0</v>
      </c>
      <c r="S549" s="461">
        <v>0</v>
      </c>
      <c r="T549" s="461">
        <v>0</v>
      </c>
      <c r="U549" s="461">
        <v>0</v>
      </c>
      <c r="V549" s="461">
        <v>0</v>
      </c>
    </row>
    <row r="550" spans="1:22" s="455" customFormat="1" hidden="1">
      <c r="A550" s="455" t="str">
        <f t="shared" si="16"/>
        <v>11479101001410</v>
      </c>
      <c r="B550" s="455">
        <f>VLOOKUP(LEFT($C$3:$C$2600,3),Table!$D$2:$E$88,2,FALSE)</f>
        <v>0</v>
      </c>
      <c r="C550" s="455" t="str">
        <f t="shared" si="17"/>
        <v>9101001410</v>
      </c>
      <c r="D550" s="455" t="e">
        <f>VLOOKUP(G550,Table!$G$3:$H$21,2,FALSE)</f>
        <v>#N/A</v>
      </c>
      <c r="E550" s="452" t="s">
        <v>902</v>
      </c>
      <c r="F550" s="452" t="s">
        <v>1239</v>
      </c>
      <c r="G550" s="452" t="s">
        <v>1056</v>
      </c>
      <c r="H550" s="452" t="s">
        <v>1057</v>
      </c>
      <c r="I550" s="453" t="s">
        <v>844</v>
      </c>
      <c r="J550" s="453">
        <v>30</v>
      </c>
      <c r="K550" s="461">
        <v>0</v>
      </c>
      <c r="L550" s="461">
        <v>15</v>
      </c>
      <c r="M550" s="461">
        <v>15</v>
      </c>
      <c r="N550" s="461">
        <v>0</v>
      </c>
      <c r="O550" s="461">
        <v>0</v>
      </c>
      <c r="P550" s="461">
        <v>0</v>
      </c>
      <c r="Q550" s="461">
        <v>0</v>
      </c>
      <c r="R550" s="461">
        <v>0</v>
      </c>
      <c r="S550" s="461">
        <v>0</v>
      </c>
      <c r="T550" s="461">
        <v>0</v>
      </c>
      <c r="U550" s="461">
        <v>0</v>
      </c>
      <c r="V550" s="461">
        <v>0</v>
      </c>
    </row>
    <row r="551" spans="1:22" s="455" customFormat="1" hidden="1">
      <c r="A551" s="455" t="str">
        <f t="shared" si="16"/>
        <v>11479101001500</v>
      </c>
      <c r="B551" s="455">
        <f>VLOOKUP(LEFT($C$3:$C$2600,3),Table!$D$2:$E$88,2,FALSE)</f>
        <v>0</v>
      </c>
      <c r="C551" s="455" t="str">
        <f t="shared" si="17"/>
        <v>9101001500</v>
      </c>
      <c r="D551" s="455" t="e">
        <f>VLOOKUP(G551,Table!$G$3:$H$21,2,FALSE)</f>
        <v>#N/A</v>
      </c>
      <c r="E551" s="452" t="s">
        <v>902</v>
      </c>
      <c r="F551" s="452" t="s">
        <v>1239</v>
      </c>
      <c r="G551" s="452" t="s">
        <v>1058</v>
      </c>
      <c r="H551" s="452" t="s">
        <v>1059</v>
      </c>
      <c r="I551" s="453" t="s">
        <v>844</v>
      </c>
      <c r="J551" s="453">
        <v>99.8</v>
      </c>
      <c r="K551" s="461">
        <v>0</v>
      </c>
      <c r="L551" s="461">
        <v>48.15</v>
      </c>
      <c r="M551" s="461">
        <v>51.65</v>
      </c>
      <c r="N551" s="461">
        <v>0</v>
      </c>
      <c r="O551" s="461">
        <v>0</v>
      </c>
      <c r="P551" s="461">
        <v>0</v>
      </c>
      <c r="Q551" s="461">
        <v>0</v>
      </c>
      <c r="R551" s="461">
        <v>0</v>
      </c>
      <c r="S551" s="461">
        <v>0</v>
      </c>
      <c r="T551" s="461">
        <v>0</v>
      </c>
      <c r="U551" s="461">
        <v>0</v>
      </c>
      <c r="V551" s="461">
        <v>0</v>
      </c>
    </row>
    <row r="552" spans="1:22" s="455" customFormat="1" hidden="1">
      <c r="A552" s="455" t="str">
        <f t="shared" si="16"/>
        <v>11479101001600</v>
      </c>
      <c r="B552" s="455">
        <f>VLOOKUP(LEFT($C$3:$C$2600,3),Table!$D$2:$E$88,2,FALSE)</f>
        <v>0</v>
      </c>
      <c r="C552" s="455" t="str">
        <f t="shared" si="17"/>
        <v>9101001600</v>
      </c>
      <c r="D552" s="455" t="e">
        <f>VLOOKUP(G552,Table!$G$3:$H$21,2,FALSE)</f>
        <v>#N/A</v>
      </c>
      <c r="E552" s="452" t="s">
        <v>902</v>
      </c>
      <c r="F552" s="452" t="s">
        <v>1239</v>
      </c>
      <c r="G552" s="452" t="s">
        <v>1060</v>
      </c>
      <c r="H552" s="452" t="s">
        <v>1061</v>
      </c>
      <c r="I552" s="453" t="s">
        <v>844</v>
      </c>
      <c r="J552" s="453">
        <v>1129.08</v>
      </c>
      <c r="K552" s="461">
        <v>0</v>
      </c>
      <c r="L552" s="461">
        <v>564.54</v>
      </c>
      <c r="M552" s="461">
        <v>564.54</v>
      </c>
      <c r="N552" s="461">
        <v>0</v>
      </c>
      <c r="O552" s="461">
        <v>0</v>
      </c>
      <c r="P552" s="461">
        <v>0</v>
      </c>
      <c r="Q552" s="461">
        <v>0</v>
      </c>
      <c r="R552" s="461">
        <v>0</v>
      </c>
      <c r="S552" s="461">
        <v>0</v>
      </c>
      <c r="T552" s="461">
        <v>0</v>
      </c>
      <c r="U552" s="461">
        <v>0</v>
      </c>
      <c r="V552" s="461">
        <v>0</v>
      </c>
    </row>
    <row r="553" spans="1:22" s="455" customFormat="1" hidden="1">
      <c r="A553" s="455" t="str">
        <f t="shared" si="16"/>
        <v>11479101001700</v>
      </c>
      <c r="B553" s="455">
        <f>VLOOKUP(LEFT($C$3:$C$2600,3),Table!$D$2:$E$88,2,FALSE)</f>
        <v>0</v>
      </c>
      <c r="C553" s="455" t="str">
        <f t="shared" si="17"/>
        <v>9101001700</v>
      </c>
      <c r="D553" s="455" t="e">
        <f>VLOOKUP(G553,Table!$G$3:$H$21,2,FALSE)</f>
        <v>#N/A</v>
      </c>
      <c r="E553" s="452" t="s">
        <v>902</v>
      </c>
      <c r="F553" s="452" t="s">
        <v>1239</v>
      </c>
      <c r="G553" s="452" t="s">
        <v>1062</v>
      </c>
      <c r="H553" s="452" t="s">
        <v>1063</v>
      </c>
      <c r="I553" s="453" t="s">
        <v>844</v>
      </c>
      <c r="J553" s="453">
        <v>0</v>
      </c>
      <c r="K553" s="461">
        <v>0</v>
      </c>
      <c r="L553" s="461">
        <v>0</v>
      </c>
      <c r="M553" s="461">
        <v>3230.38</v>
      </c>
      <c r="N553" s="461">
        <v>0</v>
      </c>
      <c r="O553" s="461">
        <v>0</v>
      </c>
      <c r="P553" s="461">
        <v>0</v>
      </c>
      <c r="Q553" s="461">
        <v>0</v>
      </c>
      <c r="R553" s="461">
        <v>0</v>
      </c>
      <c r="S553" s="461">
        <v>0</v>
      </c>
      <c r="T553" s="461">
        <v>0</v>
      </c>
      <c r="U553" s="461">
        <v>0</v>
      </c>
      <c r="V553" s="461">
        <v>0</v>
      </c>
    </row>
    <row r="554" spans="1:22" s="455" customFormat="1" hidden="1">
      <c r="A554" s="455" t="str">
        <f t="shared" si="16"/>
        <v>11479101001800</v>
      </c>
      <c r="B554" s="455">
        <f>VLOOKUP(LEFT($C$3:$C$2600,3),Table!$D$2:$E$88,2,FALSE)</f>
        <v>0</v>
      </c>
      <c r="C554" s="455" t="str">
        <f t="shared" si="17"/>
        <v>9101001800</v>
      </c>
      <c r="D554" s="455" t="e">
        <f>VLOOKUP(G554,Table!$G$3:$H$21,2,FALSE)</f>
        <v>#N/A</v>
      </c>
      <c r="E554" s="452" t="s">
        <v>902</v>
      </c>
      <c r="F554" s="452" t="s">
        <v>1239</v>
      </c>
      <c r="G554" s="452" t="s">
        <v>1064</v>
      </c>
      <c r="H554" s="452" t="s">
        <v>1065</v>
      </c>
      <c r="I554" s="453" t="s">
        <v>844</v>
      </c>
      <c r="J554" s="453">
        <v>192.4</v>
      </c>
      <c r="K554" s="461">
        <v>0</v>
      </c>
      <c r="L554" s="461">
        <v>54</v>
      </c>
      <c r="M554" s="461">
        <v>138.4</v>
      </c>
      <c r="N554" s="461">
        <v>0</v>
      </c>
      <c r="O554" s="461">
        <v>0</v>
      </c>
      <c r="P554" s="461">
        <v>0</v>
      </c>
      <c r="Q554" s="461">
        <v>0</v>
      </c>
      <c r="R554" s="461">
        <v>0</v>
      </c>
      <c r="S554" s="461">
        <v>0</v>
      </c>
      <c r="T554" s="461">
        <v>0</v>
      </c>
      <c r="U554" s="461">
        <v>0</v>
      </c>
      <c r="V554" s="461">
        <v>0</v>
      </c>
    </row>
    <row r="555" spans="1:22" s="455" customFormat="1" hidden="1">
      <c r="A555" s="455" t="str">
        <f t="shared" si="16"/>
        <v>11479101001900</v>
      </c>
      <c r="B555" s="455">
        <f>VLOOKUP(LEFT($C$3:$C$2600,3),Table!$D$2:$E$88,2,FALSE)</f>
        <v>0</v>
      </c>
      <c r="C555" s="455" t="str">
        <f t="shared" si="17"/>
        <v>9101001900</v>
      </c>
      <c r="D555" s="455" t="e">
        <f>VLOOKUP(G555,Table!$G$3:$H$21,2,FALSE)</f>
        <v>#N/A</v>
      </c>
      <c r="E555" s="452" t="s">
        <v>902</v>
      </c>
      <c r="F555" s="452" t="s">
        <v>1239</v>
      </c>
      <c r="G555" s="452" t="s">
        <v>1066</v>
      </c>
      <c r="H555" s="452" t="s">
        <v>1007</v>
      </c>
      <c r="I555" s="453" t="s">
        <v>844</v>
      </c>
      <c r="J555" s="453">
        <v>54.42</v>
      </c>
      <c r="K555" s="461">
        <v>0</v>
      </c>
      <c r="L555" s="461">
        <v>27.21</v>
      </c>
      <c r="M555" s="461">
        <v>27.21</v>
      </c>
      <c r="N555" s="461">
        <v>0</v>
      </c>
      <c r="O555" s="461">
        <v>0</v>
      </c>
      <c r="P555" s="461">
        <v>0</v>
      </c>
      <c r="Q555" s="461">
        <v>0</v>
      </c>
      <c r="R555" s="461">
        <v>0</v>
      </c>
      <c r="S555" s="461">
        <v>0</v>
      </c>
      <c r="T555" s="461">
        <v>0</v>
      </c>
      <c r="U555" s="461">
        <v>0</v>
      </c>
      <c r="V555" s="461">
        <v>0</v>
      </c>
    </row>
    <row r="556" spans="1:22" s="455" customFormat="1" hidden="1">
      <c r="A556" s="455" t="str">
        <f t="shared" si="16"/>
        <v>11479101101000</v>
      </c>
      <c r="B556" s="455">
        <f>VLOOKUP(LEFT($C$3:$C$2600,3),Table!$D$2:$E$88,2,FALSE)</f>
        <v>0</v>
      </c>
      <c r="C556" s="455" t="str">
        <f t="shared" si="17"/>
        <v>9101101000</v>
      </c>
      <c r="D556" s="455" t="e">
        <f>VLOOKUP(G556,Table!$G$3:$H$21,2,FALSE)</f>
        <v>#N/A</v>
      </c>
      <c r="E556" s="452" t="s">
        <v>902</v>
      </c>
      <c r="F556" s="452" t="s">
        <v>1239</v>
      </c>
      <c r="G556" s="452" t="s">
        <v>1067</v>
      </c>
      <c r="H556" s="452" t="s">
        <v>1068</v>
      </c>
      <c r="I556" s="453" t="s">
        <v>844</v>
      </c>
      <c r="J556" s="453">
        <v>9050.83</v>
      </c>
      <c r="K556" s="461">
        <v>2952.92</v>
      </c>
      <c r="L556" s="461">
        <v>3286.59</v>
      </c>
      <c r="M556" s="461">
        <v>3317.54</v>
      </c>
      <c r="N556" s="461">
        <v>0</v>
      </c>
      <c r="O556" s="461">
        <v>0</v>
      </c>
      <c r="P556" s="461">
        <v>0</v>
      </c>
      <c r="Q556" s="461">
        <v>0</v>
      </c>
      <c r="R556" s="461">
        <v>0</v>
      </c>
      <c r="S556" s="461">
        <v>0</v>
      </c>
      <c r="T556" s="461">
        <v>0</v>
      </c>
      <c r="U556" s="461">
        <v>0</v>
      </c>
      <c r="V556" s="461">
        <v>0</v>
      </c>
    </row>
    <row r="557" spans="1:22" s="455" customFormat="1" hidden="1">
      <c r="A557" s="455" t="str">
        <f t="shared" si="16"/>
        <v>11479101101100</v>
      </c>
      <c r="B557" s="455">
        <f>VLOOKUP(LEFT($C$3:$C$2600,3),Table!$D$2:$E$88,2,FALSE)</f>
        <v>0</v>
      </c>
      <c r="C557" s="455" t="str">
        <f t="shared" si="17"/>
        <v>9101101100</v>
      </c>
      <c r="D557" s="455" t="e">
        <f>VLOOKUP(G557,Table!$G$3:$H$21,2,FALSE)</f>
        <v>#N/A</v>
      </c>
      <c r="E557" s="452" t="s">
        <v>902</v>
      </c>
      <c r="F557" s="452" t="s">
        <v>1239</v>
      </c>
      <c r="G557" s="452" t="s">
        <v>1069</v>
      </c>
      <c r="H557" s="452" t="s">
        <v>1070</v>
      </c>
      <c r="I557" s="453" t="s">
        <v>844</v>
      </c>
      <c r="J557" s="453">
        <v>5980.7</v>
      </c>
      <c r="K557" s="461">
        <v>1904.57</v>
      </c>
      <c r="L557" s="461">
        <v>2680.45</v>
      </c>
      <c r="M557" s="461">
        <v>1730.64</v>
      </c>
      <c r="N557" s="461">
        <v>0</v>
      </c>
      <c r="O557" s="461">
        <v>0</v>
      </c>
      <c r="P557" s="461">
        <v>0</v>
      </c>
      <c r="Q557" s="461">
        <v>0</v>
      </c>
      <c r="R557" s="461">
        <v>0</v>
      </c>
      <c r="S557" s="461">
        <v>0</v>
      </c>
      <c r="T557" s="461">
        <v>0</v>
      </c>
      <c r="U557" s="461">
        <v>0</v>
      </c>
      <c r="V557" s="461">
        <v>0</v>
      </c>
    </row>
    <row r="558" spans="1:22" s="455" customFormat="1" hidden="1">
      <c r="A558" s="455" t="str">
        <f t="shared" si="16"/>
        <v>11479101101200</v>
      </c>
      <c r="B558" s="455">
        <f>VLOOKUP(LEFT($C$3:$C$2600,3),Table!$D$2:$E$88,2,FALSE)</f>
        <v>0</v>
      </c>
      <c r="C558" s="455" t="str">
        <f t="shared" si="17"/>
        <v>9101101200</v>
      </c>
      <c r="D558" s="455" t="e">
        <f>VLOOKUP(G558,Table!$G$3:$H$21,2,FALSE)</f>
        <v>#N/A</v>
      </c>
      <c r="E558" s="452" t="s">
        <v>902</v>
      </c>
      <c r="F558" s="452" t="s">
        <v>1239</v>
      </c>
      <c r="G558" s="452" t="s">
        <v>1071</v>
      </c>
      <c r="H558" s="452" t="s">
        <v>1072</v>
      </c>
      <c r="I558" s="453" t="s">
        <v>844</v>
      </c>
      <c r="J558" s="453">
        <v>1242.73</v>
      </c>
      <c r="K558" s="461">
        <v>446.1</v>
      </c>
      <c r="L558" s="461">
        <v>392.1</v>
      </c>
      <c r="M558" s="461">
        <v>404.53</v>
      </c>
      <c r="N558" s="461">
        <v>0</v>
      </c>
      <c r="O558" s="461">
        <v>0</v>
      </c>
      <c r="P558" s="461">
        <v>0</v>
      </c>
      <c r="Q558" s="461">
        <v>0</v>
      </c>
      <c r="R558" s="461">
        <v>0</v>
      </c>
      <c r="S558" s="461">
        <v>0</v>
      </c>
      <c r="T558" s="461">
        <v>0</v>
      </c>
      <c r="U558" s="461">
        <v>0</v>
      </c>
      <c r="V558" s="461">
        <v>0</v>
      </c>
    </row>
    <row r="559" spans="1:22" s="455" customFormat="1" hidden="1">
      <c r="A559" s="455" t="str">
        <f t="shared" si="16"/>
        <v>11479101101400</v>
      </c>
      <c r="B559" s="455">
        <f>VLOOKUP(LEFT($C$3:$C$2600,3),Table!$D$2:$E$88,2,FALSE)</f>
        <v>0</v>
      </c>
      <c r="C559" s="455" t="str">
        <f t="shared" si="17"/>
        <v>9101101400</v>
      </c>
      <c r="D559" s="455" t="e">
        <f>VLOOKUP(G559,Table!$G$3:$H$21,2,FALSE)</f>
        <v>#N/A</v>
      </c>
      <c r="E559" s="452" t="s">
        <v>902</v>
      </c>
      <c r="F559" s="452" t="s">
        <v>1239</v>
      </c>
      <c r="G559" s="452" t="s">
        <v>1075</v>
      </c>
      <c r="H559" s="452" t="s">
        <v>1076</v>
      </c>
      <c r="I559" s="453" t="s">
        <v>844</v>
      </c>
      <c r="J559" s="453">
        <v>1636</v>
      </c>
      <c r="K559" s="461">
        <v>541</v>
      </c>
      <c r="L559" s="461">
        <v>534</v>
      </c>
      <c r="M559" s="461">
        <v>561</v>
      </c>
      <c r="N559" s="461">
        <v>0</v>
      </c>
      <c r="O559" s="461">
        <v>0</v>
      </c>
      <c r="P559" s="461">
        <v>0</v>
      </c>
      <c r="Q559" s="461">
        <v>0</v>
      </c>
      <c r="R559" s="461">
        <v>0</v>
      </c>
      <c r="S559" s="461">
        <v>0</v>
      </c>
      <c r="T559" s="461">
        <v>0</v>
      </c>
      <c r="U559" s="461">
        <v>0</v>
      </c>
      <c r="V559" s="461">
        <v>0</v>
      </c>
    </row>
    <row r="560" spans="1:22" s="455" customFormat="1" hidden="1">
      <c r="A560" s="455" t="str">
        <f t="shared" si="16"/>
        <v>11479101101410</v>
      </c>
      <c r="B560" s="455">
        <f>VLOOKUP(LEFT($C$3:$C$2600,3),Table!$D$2:$E$88,2,FALSE)</f>
        <v>0</v>
      </c>
      <c r="C560" s="455" t="str">
        <f t="shared" si="17"/>
        <v>9101101410</v>
      </c>
      <c r="D560" s="455" t="e">
        <f>VLOOKUP(G560,Table!$G$3:$H$21,2,FALSE)</f>
        <v>#N/A</v>
      </c>
      <c r="E560" s="452" t="s">
        <v>902</v>
      </c>
      <c r="F560" s="452" t="s">
        <v>1239</v>
      </c>
      <c r="G560" s="452" t="s">
        <v>1077</v>
      </c>
      <c r="H560" s="452" t="s">
        <v>1078</v>
      </c>
      <c r="I560" s="453" t="s">
        <v>844</v>
      </c>
      <c r="J560" s="453">
        <v>75</v>
      </c>
      <c r="K560" s="461">
        <v>30</v>
      </c>
      <c r="L560" s="461">
        <v>30</v>
      </c>
      <c r="M560" s="461">
        <v>15</v>
      </c>
      <c r="N560" s="461">
        <v>0</v>
      </c>
      <c r="O560" s="461">
        <v>0</v>
      </c>
      <c r="P560" s="461">
        <v>0</v>
      </c>
      <c r="Q560" s="461">
        <v>0</v>
      </c>
      <c r="R560" s="461">
        <v>0</v>
      </c>
      <c r="S560" s="461">
        <v>0</v>
      </c>
      <c r="T560" s="461">
        <v>0</v>
      </c>
      <c r="U560" s="461">
        <v>0</v>
      </c>
      <c r="V560" s="461">
        <v>0</v>
      </c>
    </row>
    <row r="561" spans="1:22" s="455" customFormat="1" hidden="1">
      <c r="A561" s="455" t="str">
        <f t="shared" si="16"/>
        <v>11479101101500</v>
      </c>
      <c r="B561" s="455">
        <f>VLOOKUP(LEFT($C$3:$C$2600,3),Table!$D$2:$E$88,2,FALSE)</f>
        <v>0</v>
      </c>
      <c r="C561" s="455" t="str">
        <f t="shared" si="17"/>
        <v>9101101500</v>
      </c>
      <c r="D561" s="455" t="e">
        <f>VLOOKUP(G561,Table!$G$3:$H$21,2,FALSE)</f>
        <v>#N/A</v>
      </c>
      <c r="E561" s="452" t="s">
        <v>902</v>
      </c>
      <c r="F561" s="452" t="s">
        <v>1239</v>
      </c>
      <c r="G561" s="452" t="s">
        <v>1079</v>
      </c>
      <c r="H561" s="452" t="s">
        <v>1080</v>
      </c>
      <c r="I561" s="453" t="s">
        <v>844</v>
      </c>
      <c r="J561" s="453">
        <v>321.05</v>
      </c>
      <c r="K561" s="461">
        <v>107.55</v>
      </c>
      <c r="L561" s="461">
        <v>111.15</v>
      </c>
      <c r="M561" s="461">
        <v>102.35</v>
      </c>
      <c r="N561" s="461">
        <v>0</v>
      </c>
      <c r="O561" s="461">
        <v>0</v>
      </c>
      <c r="P561" s="461">
        <v>0</v>
      </c>
      <c r="Q561" s="461">
        <v>0</v>
      </c>
      <c r="R561" s="461">
        <v>0</v>
      </c>
      <c r="S561" s="461">
        <v>0</v>
      </c>
      <c r="T561" s="461">
        <v>0</v>
      </c>
      <c r="U561" s="461">
        <v>0</v>
      </c>
      <c r="V561" s="461">
        <v>0</v>
      </c>
    </row>
    <row r="562" spans="1:22" s="455" customFormat="1" hidden="1">
      <c r="A562" s="455" t="str">
        <f t="shared" si="16"/>
        <v>11479101101600</v>
      </c>
      <c r="B562" s="455">
        <f>VLOOKUP(LEFT($C$3:$C$2600,3),Table!$D$2:$E$88,2,FALSE)</f>
        <v>0</v>
      </c>
      <c r="C562" s="455" t="str">
        <f t="shared" si="17"/>
        <v>9101101600</v>
      </c>
      <c r="D562" s="455" t="e">
        <f>VLOOKUP(G562,Table!$G$3:$H$21,2,FALSE)</f>
        <v>#N/A</v>
      </c>
      <c r="E562" s="452" t="s">
        <v>902</v>
      </c>
      <c r="F562" s="452" t="s">
        <v>1239</v>
      </c>
      <c r="G562" s="452" t="s">
        <v>1081</v>
      </c>
      <c r="H562" s="452" t="s">
        <v>1082</v>
      </c>
      <c r="I562" s="453" t="s">
        <v>844</v>
      </c>
      <c r="J562" s="453">
        <v>2285.46</v>
      </c>
      <c r="K562" s="461">
        <v>761.82</v>
      </c>
      <c r="L562" s="461">
        <v>761.82</v>
      </c>
      <c r="M562" s="461">
        <v>761.82</v>
      </c>
      <c r="N562" s="461">
        <v>0</v>
      </c>
      <c r="O562" s="461">
        <v>0</v>
      </c>
      <c r="P562" s="461">
        <v>0</v>
      </c>
      <c r="Q562" s="461">
        <v>0</v>
      </c>
      <c r="R562" s="461">
        <v>0</v>
      </c>
      <c r="S562" s="461">
        <v>0</v>
      </c>
      <c r="T562" s="461">
        <v>0</v>
      </c>
      <c r="U562" s="461">
        <v>0</v>
      </c>
      <c r="V562" s="461">
        <v>0</v>
      </c>
    </row>
    <row r="563" spans="1:22" s="455" customFormat="1" hidden="1">
      <c r="A563" s="455" t="str">
        <f t="shared" si="16"/>
        <v>11479101101700</v>
      </c>
      <c r="B563" s="455">
        <f>VLOOKUP(LEFT($C$3:$C$2600,3),Table!$D$2:$E$88,2,FALSE)</f>
        <v>0</v>
      </c>
      <c r="C563" s="455" t="str">
        <f t="shared" si="17"/>
        <v>9101101700</v>
      </c>
      <c r="D563" s="455" t="e">
        <f>VLOOKUP(G563,Table!$G$3:$H$21,2,FALSE)</f>
        <v>#N/A</v>
      </c>
      <c r="E563" s="452" t="s">
        <v>902</v>
      </c>
      <c r="F563" s="452" t="s">
        <v>1239</v>
      </c>
      <c r="G563" s="452" t="s">
        <v>1083</v>
      </c>
      <c r="H563" s="452" t="s">
        <v>1084</v>
      </c>
      <c r="I563" s="453" t="s">
        <v>844</v>
      </c>
      <c r="J563" s="453">
        <v>-5346.32</v>
      </c>
      <c r="K563" s="461">
        <v>-2011.09</v>
      </c>
      <c r="L563" s="461">
        <v>208.82</v>
      </c>
      <c r="M563" s="461">
        <v>209.81</v>
      </c>
      <c r="N563" s="461">
        <v>0</v>
      </c>
      <c r="O563" s="461">
        <v>0</v>
      </c>
      <c r="P563" s="461">
        <v>0</v>
      </c>
      <c r="Q563" s="461">
        <v>0</v>
      </c>
      <c r="R563" s="461">
        <v>0</v>
      </c>
      <c r="S563" s="461">
        <v>0</v>
      </c>
      <c r="T563" s="461">
        <v>0</v>
      </c>
      <c r="U563" s="461">
        <v>0</v>
      </c>
      <c r="V563" s="461">
        <v>0</v>
      </c>
    </row>
    <row r="564" spans="1:22" s="455" customFormat="1" hidden="1">
      <c r="A564" s="455" t="str">
        <f t="shared" si="16"/>
        <v>11479101101800</v>
      </c>
      <c r="B564" s="455">
        <f>VLOOKUP(LEFT($C$3:$C$2600,3),Table!$D$2:$E$88,2,FALSE)</f>
        <v>0</v>
      </c>
      <c r="C564" s="455" t="str">
        <f t="shared" si="17"/>
        <v>9101101800</v>
      </c>
      <c r="D564" s="455" t="e">
        <f>VLOOKUP(G564,Table!$G$3:$H$21,2,FALSE)</f>
        <v>#N/A</v>
      </c>
      <c r="E564" s="452" t="s">
        <v>902</v>
      </c>
      <c r="F564" s="452" t="s">
        <v>1239</v>
      </c>
      <c r="G564" s="452" t="s">
        <v>1085</v>
      </c>
      <c r="H564" s="452" t="s">
        <v>1086</v>
      </c>
      <c r="I564" s="453" t="s">
        <v>844</v>
      </c>
      <c r="J564" s="453">
        <v>1241.5999999999999</v>
      </c>
      <c r="K564" s="461">
        <v>438.8</v>
      </c>
      <c r="L564" s="461">
        <v>405.7</v>
      </c>
      <c r="M564" s="461">
        <v>397.1</v>
      </c>
      <c r="N564" s="461">
        <v>0</v>
      </c>
      <c r="O564" s="461">
        <v>0</v>
      </c>
      <c r="P564" s="461">
        <v>0</v>
      </c>
      <c r="Q564" s="461">
        <v>0</v>
      </c>
      <c r="R564" s="461">
        <v>0</v>
      </c>
      <c r="S564" s="461">
        <v>0</v>
      </c>
      <c r="T564" s="461">
        <v>0</v>
      </c>
      <c r="U564" s="461">
        <v>0</v>
      </c>
      <c r="V564" s="461">
        <v>0</v>
      </c>
    </row>
    <row r="565" spans="1:22" s="455" customFormat="1" hidden="1">
      <c r="A565" s="455" t="str">
        <f t="shared" si="16"/>
        <v>11479101101900</v>
      </c>
      <c r="B565" s="455">
        <f>VLOOKUP(LEFT($C$3:$C$2600,3),Table!$D$2:$E$88,2,FALSE)</f>
        <v>0</v>
      </c>
      <c r="C565" s="455" t="str">
        <f t="shared" si="17"/>
        <v>9101101900</v>
      </c>
      <c r="D565" s="455" t="e">
        <f>VLOOKUP(G565,Table!$G$3:$H$21,2,FALSE)</f>
        <v>#N/A</v>
      </c>
      <c r="E565" s="452" t="s">
        <v>902</v>
      </c>
      <c r="F565" s="452" t="s">
        <v>1239</v>
      </c>
      <c r="G565" s="452" t="s">
        <v>1087</v>
      </c>
      <c r="H565" s="452" t="s">
        <v>1088</v>
      </c>
      <c r="I565" s="453" t="s">
        <v>844</v>
      </c>
      <c r="J565" s="453">
        <v>112.93</v>
      </c>
      <c r="K565" s="461">
        <v>37.299999999999997</v>
      </c>
      <c r="L565" s="461">
        <v>36.840000000000003</v>
      </c>
      <c r="M565" s="461">
        <v>38.79</v>
      </c>
      <c r="N565" s="461">
        <v>0</v>
      </c>
      <c r="O565" s="461">
        <v>0</v>
      </c>
      <c r="P565" s="461">
        <v>0</v>
      </c>
      <c r="Q565" s="461">
        <v>0</v>
      </c>
      <c r="R565" s="461">
        <v>0</v>
      </c>
      <c r="S565" s="461">
        <v>0</v>
      </c>
      <c r="T565" s="461">
        <v>0</v>
      </c>
      <c r="U565" s="461">
        <v>0</v>
      </c>
      <c r="V565" s="461">
        <v>0</v>
      </c>
    </row>
    <row r="566" spans="1:22" s="455" customFormat="1" hidden="1">
      <c r="A566" s="455" t="str">
        <f t="shared" si="16"/>
        <v>11479101201000</v>
      </c>
      <c r="B566" s="455">
        <f>VLOOKUP(LEFT($C$3:$C$2600,3),Table!$D$2:$E$88,2,FALSE)</f>
        <v>0</v>
      </c>
      <c r="C566" s="455" t="str">
        <f t="shared" si="17"/>
        <v>9101201000</v>
      </c>
      <c r="D566" s="455" t="e">
        <f>VLOOKUP(G566,Table!$G$3:$H$21,2,FALSE)</f>
        <v>#N/A</v>
      </c>
      <c r="E566" s="452" t="s">
        <v>902</v>
      </c>
      <c r="F566" s="452" t="s">
        <v>1239</v>
      </c>
      <c r="G566" s="452" t="s">
        <v>1091</v>
      </c>
      <c r="H566" s="452" t="s">
        <v>1092</v>
      </c>
      <c r="I566" s="453" t="s">
        <v>844</v>
      </c>
      <c r="J566" s="453">
        <v>307144</v>
      </c>
      <c r="K566" s="461">
        <v>90803</v>
      </c>
      <c r="L566" s="461">
        <v>104822</v>
      </c>
      <c r="M566" s="461">
        <v>111519</v>
      </c>
      <c r="N566" s="461">
        <v>0</v>
      </c>
      <c r="O566" s="461">
        <v>0</v>
      </c>
      <c r="P566" s="461">
        <v>0</v>
      </c>
      <c r="Q566" s="461">
        <v>0</v>
      </c>
      <c r="R566" s="461">
        <v>0</v>
      </c>
      <c r="S566" s="461">
        <v>0</v>
      </c>
      <c r="T566" s="461">
        <v>0</v>
      </c>
      <c r="U566" s="461">
        <v>0</v>
      </c>
      <c r="V566" s="461">
        <v>0</v>
      </c>
    </row>
    <row r="567" spans="1:22" s="455" customFormat="1" hidden="1">
      <c r="A567" s="455" t="str">
        <f t="shared" si="16"/>
        <v>11479101201400</v>
      </c>
      <c r="B567" s="455">
        <f>VLOOKUP(LEFT($C$3:$C$2600,3),Table!$D$2:$E$88,2,FALSE)</f>
        <v>0</v>
      </c>
      <c r="C567" s="455" t="str">
        <f t="shared" si="17"/>
        <v>9101201400</v>
      </c>
      <c r="D567" s="455" t="e">
        <f>VLOOKUP(G567,Table!$G$3:$H$21,2,FALSE)</f>
        <v>#N/A</v>
      </c>
      <c r="E567" s="452" t="s">
        <v>902</v>
      </c>
      <c r="F567" s="452" t="s">
        <v>1239</v>
      </c>
      <c r="G567" s="452" t="s">
        <v>1093</v>
      </c>
      <c r="H567" s="452" t="s">
        <v>1094</v>
      </c>
      <c r="I567" s="453" t="s">
        <v>844</v>
      </c>
      <c r="J567" s="453">
        <v>343065.76</v>
      </c>
      <c r="K567" s="461">
        <v>99651</v>
      </c>
      <c r="L567" s="461">
        <v>123592</v>
      </c>
      <c r="M567" s="461">
        <v>119822.76</v>
      </c>
      <c r="N567" s="461">
        <v>0</v>
      </c>
      <c r="O567" s="461">
        <v>0</v>
      </c>
      <c r="P567" s="461">
        <v>0</v>
      </c>
      <c r="Q567" s="461">
        <v>0</v>
      </c>
      <c r="R567" s="461">
        <v>0</v>
      </c>
      <c r="S567" s="461">
        <v>0</v>
      </c>
      <c r="T567" s="461">
        <v>0</v>
      </c>
      <c r="U567" s="461">
        <v>0</v>
      </c>
      <c r="V567" s="461">
        <v>0</v>
      </c>
    </row>
    <row r="568" spans="1:22" s="455" customFormat="1" hidden="1">
      <c r="A568" s="455" t="str">
        <f t="shared" si="16"/>
        <v>11479101302500</v>
      </c>
      <c r="B568" s="455">
        <f>VLOOKUP(LEFT($C$3:$C$2600,3),Table!$D$2:$E$88,2,FALSE)</f>
        <v>0</v>
      </c>
      <c r="C568" s="455" t="str">
        <f t="shared" si="17"/>
        <v>9101302500</v>
      </c>
      <c r="D568" s="455" t="e">
        <f>VLOOKUP(G568,Table!$G$3:$H$21,2,FALSE)</f>
        <v>#N/A</v>
      </c>
      <c r="E568" s="452" t="s">
        <v>902</v>
      </c>
      <c r="F568" s="452" t="s">
        <v>1239</v>
      </c>
      <c r="G568" s="452" t="s">
        <v>973</v>
      </c>
      <c r="H568" s="452" t="s">
        <v>974</v>
      </c>
      <c r="I568" s="453" t="s">
        <v>844</v>
      </c>
      <c r="J568" s="453">
        <v>45152.1</v>
      </c>
      <c r="K568" s="461">
        <v>15158.4</v>
      </c>
      <c r="L568" s="461">
        <v>95784</v>
      </c>
      <c r="M568" s="461">
        <v>-59800.3</v>
      </c>
      <c r="N568" s="461">
        <v>0</v>
      </c>
      <c r="O568" s="461">
        <v>0</v>
      </c>
      <c r="P568" s="461">
        <v>0</v>
      </c>
      <c r="Q568" s="461">
        <v>0</v>
      </c>
      <c r="R568" s="461">
        <v>0</v>
      </c>
      <c r="S568" s="461">
        <v>0</v>
      </c>
      <c r="T568" s="461">
        <v>0</v>
      </c>
      <c r="U568" s="461">
        <v>0</v>
      </c>
      <c r="V568" s="461">
        <v>0</v>
      </c>
    </row>
    <row r="569" spans="1:22" s="455" customFormat="1" hidden="1">
      <c r="A569" s="455" t="str">
        <f t="shared" si="16"/>
        <v>11479101303400</v>
      </c>
      <c r="B569" s="455">
        <f>VLOOKUP(LEFT($C$3:$C$2600,3),Table!$D$2:$E$88,2,FALSE)</f>
        <v>0</v>
      </c>
      <c r="C569" s="455" t="str">
        <f t="shared" si="17"/>
        <v>9101303400</v>
      </c>
      <c r="D569" s="455" t="e">
        <f>VLOOKUP(G569,Table!$G$3:$H$21,2,FALSE)</f>
        <v>#N/A</v>
      </c>
      <c r="E569" s="452" t="s">
        <v>902</v>
      </c>
      <c r="F569" s="452" t="s">
        <v>1239</v>
      </c>
      <c r="G569" s="452" t="s">
        <v>975</v>
      </c>
      <c r="H569" s="452" t="s">
        <v>976</v>
      </c>
      <c r="I569" s="453" t="s">
        <v>844</v>
      </c>
      <c r="J569" s="453">
        <v>199848.99</v>
      </c>
      <c r="K569" s="461">
        <v>45346.91</v>
      </c>
      <c r="L569" s="461">
        <v>70061.3</v>
      </c>
      <c r="M569" s="461">
        <v>84440.78</v>
      </c>
      <c r="N569" s="461">
        <v>0</v>
      </c>
      <c r="O569" s="461">
        <v>0</v>
      </c>
      <c r="P569" s="461">
        <v>0</v>
      </c>
      <c r="Q569" s="461">
        <v>0</v>
      </c>
      <c r="R569" s="461">
        <v>0</v>
      </c>
      <c r="S569" s="461">
        <v>0</v>
      </c>
      <c r="T569" s="461">
        <v>0</v>
      </c>
      <c r="U569" s="461">
        <v>0</v>
      </c>
      <c r="V569" s="461">
        <v>0</v>
      </c>
    </row>
    <row r="570" spans="1:22" s="455" customFormat="1" hidden="1">
      <c r="A570" s="455" t="str">
        <f t="shared" si="16"/>
        <v>11479152011211</v>
      </c>
      <c r="B570" s="455">
        <f>VLOOKUP(LEFT($C$3:$C$2600,3),Table!$D$2:$E$88,2,FALSE)</f>
        <v>0</v>
      </c>
      <c r="C570" s="455" t="str">
        <f t="shared" si="17"/>
        <v>9152011211</v>
      </c>
      <c r="D570" s="455" t="e">
        <f>VLOOKUP(G570,Table!$G$3:$H$21,2,FALSE)</f>
        <v>#N/A</v>
      </c>
      <c r="E570" s="452" t="s">
        <v>902</v>
      </c>
      <c r="F570" s="452" t="s">
        <v>1239</v>
      </c>
      <c r="G570" s="452" t="s">
        <v>1240</v>
      </c>
      <c r="H570" s="452" t="s">
        <v>1241</v>
      </c>
      <c r="I570" s="453" t="s">
        <v>844</v>
      </c>
      <c r="J570" s="453">
        <v>18225</v>
      </c>
      <c r="K570" s="461">
        <v>18225</v>
      </c>
      <c r="L570" s="461">
        <v>0</v>
      </c>
      <c r="M570" s="461">
        <v>0</v>
      </c>
      <c r="N570" s="461">
        <v>0</v>
      </c>
      <c r="O570" s="461">
        <v>0</v>
      </c>
      <c r="P570" s="461">
        <v>0</v>
      </c>
      <c r="Q570" s="461">
        <v>0</v>
      </c>
      <c r="R570" s="461">
        <v>0</v>
      </c>
      <c r="S570" s="461">
        <v>0</v>
      </c>
      <c r="T570" s="461">
        <v>0</v>
      </c>
      <c r="U570" s="461">
        <v>0</v>
      </c>
      <c r="V570" s="461">
        <v>0</v>
      </c>
    </row>
    <row r="571" spans="1:22" s="455" customFormat="1" hidden="1">
      <c r="A571" s="455" t="str">
        <f t="shared" si="16"/>
        <v>11479152011221</v>
      </c>
      <c r="B571" s="455">
        <f>VLOOKUP(LEFT($C$3:$C$2600,3),Table!$D$2:$E$88,2,FALSE)</f>
        <v>0</v>
      </c>
      <c r="C571" s="455" t="str">
        <f t="shared" si="17"/>
        <v>9152011221</v>
      </c>
      <c r="D571" s="455" t="e">
        <f>VLOOKUP(G571,Table!$G$3:$H$21,2,FALSE)</f>
        <v>#N/A</v>
      </c>
      <c r="E571" s="452" t="s">
        <v>902</v>
      </c>
      <c r="F571" s="452" t="s">
        <v>1239</v>
      </c>
      <c r="G571" s="452" t="s">
        <v>1242</v>
      </c>
      <c r="H571" s="452" t="s">
        <v>1243</v>
      </c>
      <c r="I571" s="453" t="s">
        <v>844</v>
      </c>
      <c r="J571" s="453">
        <v>4446</v>
      </c>
      <c r="K571" s="461">
        <v>0</v>
      </c>
      <c r="L571" s="461">
        <v>2030</v>
      </c>
      <c r="M571" s="461">
        <v>2416</v>
      </c>
      <c r="N571" s="461">
        <v>0</v>
      </c>
      <c r="O571" s="461">
        <v>0</v>
      </c>
      <c r="P571" s="461">
        <v>0</v>
      </c>
      <c r="Q571" s="461">
        <v>0</v>
      </c>
      <c r="R571" s="461">
        <v>0</v>
      </c>
      <c r="S571" s="461">
        <v>0</v>
      </c>
      <c r="T571" s="461">
        <v>0</v>
      </c>
      <c r="U571" s="461">
        <v>0</v>
      </c>
      <c r="V571" s="461">
        <v>0</v>
      </c>
    </row>
    <row r="572" spans="1:22" s="455" customFormat="1" hidden="1">
      <c r="A572" s="455" t="str">
        <f t="shared" si="16"/>
        <v>11479152020212</v>
      </c>
      <c r="B572" s="455">
        <f>VLOOKUP(LEFT($C$3:$C$2600,3),Table!$D$2:$E$88,2,FALSE)</f>
        <v>0</v>
      </c>
      <c r="C572" s="455" t="str">
        <f t="shared" si="17"/>
        <v>9152020212</v>
      </c>
      <c r="D572" s="455" t="e">
        <f>VLOOKUP(G572,Table!$G$3:$H$21,2,FALSE)</f>
        <v>#N/A</v>
      </c>
      <c r="E572" s="452" t="s">
        <v>902</v>
      </c>
      <c r="F572" s="452" t="s">
        <v>1239</v>
      </c>
      <c r="G572" s="452" t="s">
        <v>1023</v>
      </c>
      <c r="H572" s="452" t="s">
        <v>1024</v>
      </c>
      <c r="I572" s="453" t="s">
        <v>844</v>
      </c>
      <c r="J572" s="453">
        <v>1140</v>
      </c>
      <c r="K572" s="461">
        <v>920</v>
      </c>
      <c r="L572" s="461">
        <v>110</v>
      </c>
      <c r="M572" s="461">
        <v>820</v>
      </c>
      <c r="N572" s="461">
        <v>0</v>
      </c>
      <c r="O572" s="461">
        <v>0</v>
      </c>
      <c r="P572" s="461">
        <v>0</v>
      </c>
      <c r="Q572" s="461">
        <v>0</v>
      </c>
      <c r="R572" s="461">
        <v>0</v>
      </c>
      <c r="S572" s="461">
        <v>0</v>
      </c>
      <c r="T572" s="461">
        <v>0</v>
      </c>
      <c r="U572" s="461">
        <v>0</v>
      </c>
      <c r="V572" s="461">
        <v>0</v>
      </c>
    </row>
    <row r="573" spans="1:22" s="455" customFormat="1" hidden="1">
      <c r="A573" s="455" t="str">
        <f t="shared" si="16"/>
        <v>11479152066711</v>
      </c>
      <c r="B573" s="455">
        <f>VLOOKUP(LEFT($C$3:$C$2600,3),Table!$D$2:$E$88,2,FALSE)</f>
        <v>0</v>
      </c>
      <c r="C573" s="455" t="str">
        <f t="shared" si="17"/>
        <v>9152066711</v>
      </c>
      <c r="D573" s="455" t="e">
        <f>VLOOKUP(G573,Table!$G$3:$H$21,2,FALSE)</f>
        <v>#N/A</v>
      </c>
      <c r="E573" s="452" t="s">
        <v>902</v>
      </c>
      <c r="F573" s="452" t="s">
        <v>1239</v>
      </c>
      <c r="G573" s="452" t="s">
        <v>1244</v>
      </c>
      <c r="H573" s="452" t="s">
        <v>1245</v>
      </c>
      <c r="I573" s="453" t="s">
        <v>844</v>
      </c>
      <c r="J573" s="453">
        <v>1786.7</v>
      </c>
      <c r="K573" s="461">
        <v>0</v>
      </c>
      <c r="L573" s="461">
        <v>821.7</v>
      </c>
      <c r="M573" s="461">
        <v>965</v>
      </c>
      <c r="N573" s="461">
        <v>0</v>
      </c>
      <c r="O573" s="461">
        <v>0</v>
      </c>
      <c r="P573" s="461">
        <v>0</v>
      </c>
      <c r="Q573" s="461">
        <v>0</v>
      </c>
      <c r="R573" s="461">
        <v>0</v>
      </c>
      <c r="S573" s="461">
        <v>0</v>
      </c>
      <c r="T573" s="461">
        <v>0</v>
      </c>
      <c r="U573" s="461">
        <v>0</v>
      </c>
      <c r="V573" s="461">
        <v>0</v>
      </c>
    </row>
    <row r="574" spans="1:22" s="455" customFormat="1" hidden="1">
      <c r="A574" s="455" t="str">
        <f t="shared" si="16"/>
        <v>11479152066811</v>
      </c>
      <c r="B574" s="455">
        <f>VLOOKUP(LEFT($C$3:$C$2600,3),Table!$D$2:$E$88,2,FALSE)</f>
        <v>0</v>
      </c>
      <c r="C574" s="455" t="str">
        <f t="shared" si="17"/>
        <v>9152066811</v>
      </c>
      <c r="D574" s="455" t="e">
        <f>VLOOKUP(G574,Table!$G$3:$H$21,2,FALSE)</f>
        <v>#N/A</v>
      </c>
      <c r="E574" s="452" t="s">
        <v>902</v>
      </c>
      <c r="F574" s="452" t="s">
        <v>1239</v>
      </c>
      <c r="G574" s="452" t="s">
        <v>1246</v>
      </c>
      <c r="H574" s="452" t="s">
        <v>1247</v>
      </c>
      <c r="I574" s="453" t="s">
        <v>844</v>
      </c>
      <c r="J574" s="453">
        <v>1600</v>
      </c>
      <c r="K574" s="461">
        <v>0</v>
      </c>
      <c r="L574" s="461">
        <v>0</v>
      </c>
      <c r="M574" s="461">
        <v>1600</v>
      </c>
      <c r="N574" s="461">
        <v>0</v>
      </c>
      <c r="O574" s="461">
        <v>0</v>
      </c>
      <c r="P574" s="461">
        <v>0</v>
      </c>
      <c r="Q574" s="461">
        <v>0</v>
      </c>
      <c r="R574" s="461">
        <v>0</v>
      </c>
      <c r="S574" s="461">
        <v>0</v>
      </c>
      <c r="T574" s="461">
        <v>0</v>
      </c>
      <c r="U574" s="461">
        <v>0</v>
      </c>
      <c r="V574" s="461">
        <v>0</v>
      </c>
    </row>
    <row r="575" spans="1:22" s="455" customFormat="1" hidden="1">
      <c r="A575" s="455" t="str">
        <f t="shared" si="16"/>
        <v>11479153001000</v>
      </c>
      <c r="B575" s="455">
        <f>VLOOKUP(LEFT($C$3:$C$2600,3),Table!$D$2:$E$88,2,FALSE)</f>
        <v>0</v>
      </c>
      <c r="C575" s="455" t="str">
        <f t="shared" si="17"/>
        <v>9153001000</v>
      </c>
      <c r="D575" s="455" t="e">
        <f>VLOOKUP(G575,Table!$G$3:$H$21,2,FALSE)</f>
        <v>#N/A</v>
      </c>
      <c r="E575" s="452" t="s">
        <v>902</v>
      </c>
      <c r="F575" s="452" t="s">
        <v>1239</v>
      </c>
      <c r="G575" s="452" t="s">
        <v>1043</v>
      </c>
      <c r="H575" s="452" t="s">
        <v>1044</v>
      </c>
      <c r="I575" s="453" t="s">
        <v>844</v>
      </c>
      <c r="J575" s="453">
        <v>28524</v>
      </c>
      <c r="K575" s="461">
        <v>9508</v>
      </c>
      <c r="L575" s="461">
        <v>9508</v>
      </c>
      <c r="M575" s="461">
        <v>9508</v>
      </c>
      <c r="N575" s="461">
        <v>0</v>
      </c>
      <c r="O575" s="461">
        <v>0</v>
      </c>
      <c r="P575" s="461">
        <v>0</v>
      </c>
      <c r="Q575" s="461">
        <v>0</v>
      </c>
      <c r="R575" s="461">
        <v>0</v>
      </c>
      <c r="S575" s="461">
        <v>0</v>
      </c>
      <c r="T575" s="461">
        <v>0</v>
      </c>
      <c r="U575" s="461">
        <v>0</v>
      </c>
      <c r="V575" s="461">
        <v>0</v>
      </c>
    </row>
    <row r="576" spans="1:22" s="455" customFormat="1" hidden="1">
      <c r="A576" s="455" t="str">
        <f t="shared" si="16"/>
        <v>11509101001000</v>
      </c>
      <c r="B576" s="455">
        <f>VLOOKUP(LEFT($C$3:$C$2600,3),Table!$D$2:$E$88,2,FALSE)</f>
        <v>0</v>
      </c>
      <c r="C576" s="455" t="str">
        <f t="shared" si="17"/>
        <v>9101001000</v>
      </c>
      <c r="D576" s="455" t="e">
        <f>VLOOKUP(G576,Table!$G$3:$H$21,2,FALSE)</f>
        <v>#N/A</v>
      </c>
      <c r="E576" s="452" t="s">
        <v>902</v>
      </c>
      <c r="F576" s="452" t="s">
        <v>1248</v>
      </c>
      <c r="G576" s="452" t="s">
        <v>1046</v>
      </c>
      <c r="H576" s="452" t="s">
        <v>1047</v>
      </c>
      <c r="I576" s="453" t="s">
        <v>844</v>
      </c>
      <c r="J576" s="453">
        <v>2217.3000000000002</v>
      </c>
      <c r="K576" s="461">
        <v>2217.3000000000002</v>
      </c>
      <c r="L576" s="461">
        <v>0</v>
      </c>
      <c r="M576" s="461">
        <v>0</v>
      </c>
      <c r="N576" s="461">
        <v>0</v>
      </c>
      <c r="O576" s="461">
        <v>0</v>
      </c>
      <c r="P576" s="461">
        <v>0</v>
      </c>
      <c r="Q576" s="461">
        <v>0</v>
      </c>
      <c r="R576" s="461">
        <v>0</v>
      </c>
      <c r="S576" s="461">
        <v>0</v>
      </c>
      <c r="T576" s="461">
        <v>0</v>
      </c>
      <c r="U576" s="461">
        <v>0</v>
      </c>
      <c r="V576" s="461">
        <v>0</v>
      </c>
    </row>
    <row r="577" spans="1:22" s="455" customFormat="1" hidden="1">
      <c r="A577" s="455" t="str">
        <f t="shared" si="16"/>
        <v>11509101001100</v>
      </c>
      <c r="B577" s="455">
        <f>VLOOKUP(LEFT($C$3:$C$2600,3),Table!$D$2:$E$88,2,FALSE)</f>
        <v>0</v>
      </c>
      <c r="C577" s="455" t="str">
        <f t="shared" si="17"/>
        <v>9101001100</v>
      </c>
      <c r="D577" s="455" t="e">
        <f>VLOOKUP(G577,Table!$G$3:$H$21,2,FALSE)</f>
        <v>#N/A</v>
      </c>
      <c r="E577" s="452" t="s">
        <v>902</v>
      </c>
      <c r="F577" s="452" t="s">
        <v>1248</v>
      </c>
      <c r="G577" s="452" t="s">
        <v>1048</v>
      </c>
      <c r="H577" s="452" t="s">
        <v>1049</v>
      </c>
      <c r="I577" s="453" t="s">
        <v>844</v>
      </c>
      <c r="J577" s="453">
        <v>878.49</v>
      </c>
      <c r="K577" s="461">
        <v>878.49</v>
      </c>
      <c r="L577" s="461">
        <v>0</v>
      </c>
      <c r="M577" s="461">
        <v>0</v>
      </c>
      <c r="N577" s="461">
        <v>0</v>
      </c>
      <c r="O577" s="461">
        <v>0</v>
      </c>
      <c r="P577" s="461">
        <v>0</v>
      </c>
      <c r="Q577" s="461">
        <v>0</v>
      </c>
      <c r="R577" s="461">
        <v>0</v>
      </c>
      <c r="S577" s="461">
        <v>0</v>
      </c>
      <c r="T577" s="461">
        <v>0</v>
      </c>
      <c r="U577" s="461">
        <v>0</v>
      </c>
      <c r="V577" s="461">
        <v>0</v>
      </c>
    </row>
    <row r="578" spans="1:22" s="455" customFormat="1" hidden="1">
      <c r="A578" s="455" t="str">
        <f t="shared" si="16"/>
        <v>11509101001200</v>
      </c>
      <c r="B578" s="455">
        <f>VLOOKUP(LEFT($C$3:$C$2600,3),Table!$D$2:$E$88,2,FALSE)</f>
        <v>0</v>
      </c>
      <c r="C578" s="455" t="str">
        <f t="shared" si="17"/>
        <v>9101001200</v>
      </c>
      <c r="D578" s="455" t="e">
        <f>VLOOKUP(G578,Table!$G$3:$H$21,2,FALSE)</f>
        <v>#N/A</v>
      </c>
      <c r="E578" s="452" t="s">
        <v>902</v>
      </c>
      <c r="F578" s="452" t="s">
        <v>1248</v>
      </c>
      <c r="G578" s="452" t="s">
        <v>1050</v>
      </c>
      <c r="H578" s="452" t="s">
        <v>1051</v>
      </c>
      <c r="I578" s="453" t="s">
        <v>844</v>
      </c>
      <c r="J578" s="453">
        <v>216.75</v>
      </c>
      <c r="K578" s="461">
        <v>216.75</v>
      </c>
      <c r="L578" s="461">
        <v>0</v>
      </c>
      <c r="M578" s="461">
        <v>0</v>
      </c>
      <c r="N578" s="461">
        <v>0</v>
      </c>
      <c r="O578" s="461">
        <v>0</v>
      </c>
      <c r="P578" s="461">
        <v>0</v>
      </c>
      <c r="Q578" s="461">
        <v>0</v>
      </c>
      <c r="R578" s="461">
        <v>0</v>
      </c>
      <c r="S578" s="461">
        <v>0</v>
      </c>
      <c r="T578" s="461">
        <v>0</v>
      </c>
      <c r="U578" s="461">
        <v>0</v>
      </c>
      <c r="V578" s="461">
        <v>0</v>
      </c>
    </row>
    <row r="579" spans="1:22" s="455" customFormat="1" hidden="1">
      <c r="A579" s="455" t="str">
        <f t="shared" si="16"/>
        <v>11509101001400</v>
      </c>
      <c r="B579" s="455">
        <f>VLOOKUP(LEFT($C$3:$C$2600,3),Table!$D$2:$E$88,2,FALSE)</f>
        <v>0</v>
      </c>
      <c r="C579" s="455" t="str">
        <f t="shared" si="17"/>
        <v>9101001400</v>
      </c>
      <c r="D579" s="455" t="e">
        <f>VLOOKUP(G579,Table!$G$3:$H$21,2,FALSE)</f>
        <v>#N/A</v>
      </c>
      <c r="E579" s="452" t="s">
        <v>902</v>
      </c>
      <c r="F579" s="452" t="s">
        <v>1248</v>
      </c>
      <c r="G579" s="452" t="s">
        <v>1054</v>
      </c>
      <c r="H579" s="452" t="s">
        <v>1055</v>
      </c>
      <c r="I579" s="453" t="s">
        <v>844</v>
      </c>
      <c r="J579" s="453">
        <v>373</v>
      </c>
      <c r="K579" s="461">
        <v>373</v>
      </c>
      <c r="L579" s="461">
        <v>0</v>
      </c>
      <c r="M579" s="461">
        <v>0</v>
      </c>
      <c r="N579" s="461">
        <v>0</v>
      </c>
      <c r="O579" s="461">
        <v>0</v>
      </c>
      <c r="P579" s="461">
        <v>0</v>
      </c>
      <c r="Q579" s="461">
        <v>0</v>
      </c>
      <c r="R579" s="461">
        <v>0</v>
      </c>
      <c r="S579" s="461">
        <v>0</v>
      </c>
      <c r="T579" s="461">
        <v>0</v>
      </c>
      <c r="U579" s="461">
        <v>0</v>
      </c>
      <c r="V579" s="461">
        <v>0</v>
      </c>
    </row>
    <row r="580" spans="1:22" s="455" customFormat="1" hidden="1">
      <c r="A580" s="455" t="str">
        <f t="shared" ref="A580:A643" si="18">F580&amp;G580</f>
        <v>11509101001410</v>
      </c>
      <c r="B580" s="455">
        <f>VLOOKUP(LEFT($C$3:$C$2600,3),Table!$D$2:$E$88,2,FALSE)</f>
        <v>0</v>
      </c>
      <c r="C580" s="455" t="str">
        <f t="shared" ref="C580:C643" si="19">IF(ISNA(D580),G580,D580)</f>
        <v>9101001410</v>
      </c>
      <c r="D580" s="455" t="e">
        <f>VLOOKUP(G580,Table!$G$3:$H$21,2,FALSE)</f>
        <v>#N/A</v>
      </c>
      <c r="E580" s="452" t="s">
        <v>902</v>
      </c>
      <c r="F580" s="452" t="s">
        <v>1248</v>
      </c>
      <c r="G580" s="452" t="s">
        <v>1056</v>
      </c>
      <c r="H580" s="452" t="s">
        <v>1057</v>
      </c>
      <c r="I580" s="453" t="s">
        <v>844</v>
      </c>
      <c r="J580" s="453">
        <v>15</v>
      </c>
      <c r="K580" s="461">
        <v>15</v>
      </c>
      <c r="L580" s="461">
        <v>0</v>
      </c>
      <c r="M580" s="461">
        <v>0</v>
      </c>
      <c r="N580" s="461">
        <v>0</v>
      </c>
      <c r="O580" s="461">
        <v>0</v>
      </c>
      <c r="P580" s="461">
        <v>0</v>
      </c>
      <c r="Q580" s="461">
        <v>0</v>
      </c>
      <c r="R580" s="461">
        <v>0</v>
      </c>
      <c r="S580" s="461">
        <v>0</v>
      </c>
      <c r="T580" s="461">
        <v>0</v>
      </c>
      <c r="U580" s="461">
        <v>0</v>
      </c>
      <c r="V580" s="461">
        <v>0</v>
      </c>
    </row>
    <row r="581" spans="1:22" s="455" customFormat="1" hidden="1">
      <c r="A581" s="455" t="str">
        <f t="shared" si="18"/>
        <v>11509101001500</v>
      </c>
      <c r="B581" s="455">
        <f>VLOOKUP(LEFT($C$3:$C$2600,3),Table!$D$2:$E$88,2,FALSE)</f>
        <v>0</v>
      </c>
      <c r="C581" s="455" t="str">
        <f t="shared" si="19"/>
        <v>9101001500</v>
      </c>
      <c r="D581" s="455" t="e">
        <f>VLOOKUP(G581,Table!$G$3:$H$21,2,FALSE)</f>
        <v>#N/A</v>
      </c>
      <c r="E581" s="452" t="s">
        <v>902</v>
      </c>
      <c r="F581" s="452" t="s">
        <v>1248</v>
      </c>
      <c r="G581" s="452" t="s">
        <v>1058</v>
      </c>
      <c r="H581" s="452" t="s">
        <v>1059</v>
      </c>
      <c r="I581" s="453" t="s">
        <v>844</v>
      </c>
      <c r="J581" s="453">
        <v>51.65</v>
      </c>
      <c r="K581" s="461">
        <v>51.65</v>
      </c>
      <c r="L581" s="461">
        <v>0</v>
      </c>
      <c r="M581" s="461">
        <v>0</v>
      </c>
      <c r="N581" s="461">
        <v>0</v>
      </c>
      <c r="O581" s="461">
        <v>0</v>
      </c>
      <c r="P581" s="461">
        <v>0</v>
      </c>
      <c r="Q581" s="461">
        <v>0</v>
      </c>
      <c r="R581" s="461">
        <v>0</v>
      </c>
      <c r="S581" s="461">
        <v>0</v>
      </c>
      <c r="T581" s="461">
        <v>0</v>
      </c>
      <c r="U581" s="461">
        <v>0</v>
      </c>
      <c r="V581" s="461">
        <v>0</v>
      </c>
    </row>
    <row r="582" spans="1:22" s="455" customFormat="1" hidden="1">
      <c r="A582" s="455" t="str">
        <f t="shared" si="18"/>
        <v>11509101001600</v>
      </c>
      <c r="B582" s="455">
        <f>VLOOKUP(LEFT($C$3:$C$2600,3),Table!$D$2:$E$88,2,FALSE)</f>
        <v>0</v>
      </c>
      <c r="C582" s="455" t="str">
        <f t="shared" si="19"/>
        <v>9101001600</v>
      </c>
      <c r="D582" s="455" t="e">
        <f>VLOOKUP(G582,Table!$G$3:$H$21,2,FALSE)</f>
        <v>#N/A</v>
      </c>
      <c r="E582" s="452" t="s">
        <v>902</v>
      </c>
      <c r="F582" s="452" t="s">
        <v>1248</v>
      </c>
      <c r="G582" s="452" t="s">
        <v>1060</v>
      </c>
      <c r="H582" s="452" t="s">
        <v>1061</v>
      </c>
      <c r="I582" s="453" t="s">
        <v>844</v>
      </c>
      <c r="J582" s="453">
        <v>505.9</v>
      </c>
      <c r="K582" s="461">
        <v>505.9</v>
      </c>
      <c r="L582" s="461">
        <v>0</v>
      </c>
      <c r="M582" s="461">
        <v>0</v>
      </c>
      <c r="N582" s="461">
        <v>0</v>
      </c>
      <c r="O582" s="461">
        <v>0</v>
      </c>
      <c r="P582" s="461">
        <v>0</v>
      </c>
      <c r="Q582" s="461">
        <v>0</v>
      </c>
      <c r="R582" s="461">
        <v>0</v>
      </c>
      <c r="S582" s="461">
        <v>0</v>
      </c>
      <c r="T582" s="461">
        <v>0</v>
      </c>
      <c r="U582" s="461">
        <v>0</v>
      </c>
      <c r="V582" s="461">
        <v>0</v>
      </c>
    </row>
    <row r="583" spans="1:22" s="455" customFormat="1" hidden="1">
      <c r="A583" s="455" t="str">
        <f t="shared" si="18"/>
        <v>11509101001700</v>
      </c>
      <c r="B583" s="455">
        <f>VLOOKUP(LEFT($C$3:$C$2600,3),Table!$D$2:$E$88,2,FALSE)</f>
        <v>0</v>
      </c>
      <c r="C583" s="455" t="str">
        <f t="shared" si="19"/>
        <v>9101001700</v>
      </c>
      <c r="D583" s="455" t="e">
        <f>VLOOKUP(G583,Table!$G$3:$H$21,2,FALSE)</f>
        <v>#N/A</v>
      </c>
      <c r="E583" s="452" t="s">
        <v>902</v>
      </c>
      <c r="F583" s="452" t="s">
        <v>1248</v>
      </c>
      <c r="G583" s="452" t="s">
        <v>1062</v>
      </c>
      <c r="H583" s="452" t="s">
        <v>1063</v>
      </c>
      <c r="I583" s="453" t="s">
        <v>844</v>
      </c>
      <c r="J583" s="453">
        <v>97.28</v>
      </c>
      <c r="K583" s="461">
        <v>97.28</v>
      </c>
      <c r="L583" s="461">
        <v>0</v>
      </c>
      <c r="M583" s="461">
        <v>0</v>
      </c>
      <c r="N583" s="461">
        <v>0</v>
      </c>
      <c r="O583" s="461">
        <v>0</v>
      </c>
      <c r="P583" s="461">
        <v>0</v>
      </c>
      <c r="Q583" s="461">
        <v>0</v>
      </c>
      <c r="R583" s="461">
        <v>0</v>
      </c>
      <c r="S583" s="461">
        <v>0</v>
      </c>
      <c r="T583" s="461">
        <v>0</v>
      </c>
      <c r="U583" s="461">
        <v>0</v>
      </c>
      <c r="V583" s="461">
        <v>0</v>
      </c>
    </row>
    <row r="584" spans="1:22" s="455" customFormat="1" hidden="1">
      <c r="A584" s="455" t="str">
        <f t="shared" si="18"/>
        <v>11509101001800</v>
      </c>
      <c r="B584" s="455">
        <f>VLOOKUP(LEFT($C$3:$C$2600,3),Table!$D$2:$E$88,2,FALSE)</f>
        <v>0</v>
      </c>
      <c r="C584" s="455" t="str">
        <f t="shared" si="19"/>
        <v>9101001800</v>
      </c>
      <c r="D584" s="455" t="e">
        <f>VLOOKUP(G584,Table!$G$3:$H$21,2,FALSE)</f>
        <v>#N/A</v>
      </c>
      <c r="E584" s="452" t="s">
        <v>902</v>
      </c>
      <c r="F584" s="452" t="s">
        <v>1248</v>
      </c>
      <c r="G584" s="452" t="s">
        <v>1064</v>
      </c>
      <c r="H584" s="452" t="s">
        <v>1065</v>
      </c>
      <c r="I584" s="453" t="s">
        <v>844</v>
      </c>
      <c r="J584" s="453">
        <v>157.4</v>
      </c>
      <c r="K584" s="461">
        <v>157.4</v>
      </c>
      <c r="L584" s="461">
        <v>0</v>
      </c>
      <c r="M584" s="461">
        <v>0</v>
      </c>
      <c r="N584" s="461">
        <v>0</v>
      </c>
      <c r="O584" s="461">
        <v>0</v>
      </c>
      <c r="P584" s="461">
        <v>0</v>
      </c>
      <c r="Q584" s="461">
        <v>0</v>
      </c>
      <c r="R584" s="461">
        <v>0</v>
      </c>
      <c r="S584" s="461">
        <v>0</v>
      </c>
      <c r="T584" s="461">
        <v>0</v>
      </c>
      <c r="U584" s="461">
        <v>0</v>
      </c>
      <c r="V584" s="461">
        <v>0</v>
      </c>
    </row>
    <row r="585" spans="1:22" s="455" customFormat="1" hidden="1">
      <c r="A585" s="455" t="str">
        <f t="shared" si="18"/>
        <v>11509101001900</v>
      </c>
      <c r="B585" s="455">
        <f>VLOOKUP(LEFT($C$3:$C$2600,3),Table!$D$2:$E$88,2,FALSE)</f>
        <v>0</v>
      </c>
      <c r="C585" s="455" t="str">
        <f t="shared" si="19"/>
        <v>9101001900</v>
      </c>
      <c r="D585" s="455" t="e">
        <f>VLOOKUP(G585,Table!$G$3:$H$21,2,FALSE)</f>
        <v>#N/A</v>
      </c>
      <c r="E585" s="452" t="s">
        <v>902</v>
      </c>
      <c r="F585" s="452" t="s">
        <v>1248</v>
      </c>
      <c r="G585" s="452" t="s">
        <v>1066</v>
      </c>
      <c r="H585" s="452" t="s">
        <v>1007</v>
      </c>
      <c r="I585" s="453" t="s">
        <v>844</v>
      </c>
      <c r="J585" s="453">
        <v>24.34</v>
      </c>
      <c r="K585" s="461">
        <v>24.34</v>
      </c>
      <c r="L585" s="461">
        <v>0</v>
      </c>
      <c r="M585" s="461">
        <v>0</v>
      </c>
      <c r="N585" s="461">
        <v>0</v>
      </c>
      <c r="O585" s="461">
        <v>0</v>
      </c>
      <c r="P585" s="461">
        <v>0</v>
      </c>
      <c r="Q585" s="461">
        <v>0</v>
      </c>
      <c r="R585" s="461">
        <v>0</v>
      </c>
      <c r="S585" s="461">
        <v>0</v>
      </c>
      <c r="T585" s="461">
        <v>0</v>
      </c>
      <c r="U585" s="461">
        <v>0</v>
      </c>
      <c r="V585" s="461">
        <v>0</v>
      </c>
    </row>
    <row r="586" spans="1:22" s="455" customFormat="1" hidden="1">
      <c r="A586" s="455" t="str">
        <f t="shared" si="18"/>
        <v>11509101101000</v>
      </c>
      <c r="B586" s="455">
        <f>VLOOKUP(LEFT($C$3:$C$2600,3),Table!$D$2:$E$88,2,FALSE)</f>
        <v>0</v>
      </c>
      <c r="C586" s="455" t="str">
        <f t="shared" si="19"/>
        <v>9101101000</v>
      </c>
      <c r="D586" s="455" t="e">
        <f>VLOOKUP(G586,Table!$G$3:$H$21,2,FALSE)</f>
        <v>#N/A</v>
      </c>
      <c r="E586" s="452" t="s">
        <v>902</v>
      </c>
      <c r="F586" s="452" t="s">
        <v>1248</v>
      </c>
      <c r="G586" s="452" t="s">
        <v>1067</v>
      </c>
      <c r="H586" s="452" t="s">
        <v>1068</v>
      </c>
      <c r="I586" s="453" t="s">
        <v>844</v>
      </c>
      <c r="J586" s="453">
        <v>-163.85</v>
      </c>
      <c r="K586" s="461">
        <v>-163.85</v>
      </c>
      <c r="L586" s="461">
        <v>0</v>
      </c>
      <c r="M586" s="461">
        <v>0</v>
      </c>
      <c r="N586" s="461">
        <v>0</v>
      </c>
      <c r="O586" s="461">
        <v>0</v>
      </c>
      <c r="P586" s="461">
        <v>0</v>
      </c>
      <c r="Q586" s="461">
        <v>0</v>
      </c>
      <c r="R586" s="461">
        <v>0</v>
      </c>
      <c r="S586" s="461">
        <v>0</v>
      </c>
      <c r="T586" s="461">
        <v>0</v>
      </c>
      <c r="U586" s="461">
        <v>0</v>
      </c>
      <c r="V586" s="461">
        <v>0</v>
      </c>
    </row>
    <row r="587" spans="1:22" s="455" customFormat="1" hidden="1">
      <c r="A587" s="455" t="str">
        <f t="shared" si="18"/>
        <v>11519101001000</v>
      </c>
      <c r="B587" s="455">
        <f>VLOOKUP(LEFT($C$3:$C$2600,3),Table!$D$2:$E$88,2,FALSE)</f>
        <v>0</v>
      </c>
      <c r="C587" s="455" t="str">
        <f t="shared" si="19"/>
        <v>9101001000</v>
      </c>
      <c r="D587" s="455" t="e">
        <f>VLOOKUP(G587,Table!$G$3:$H$21,2,FALSE)</f>
        <v>#N/A</v>
      </c>
      <c r="E587" s="452" t="s">
        <v>902</v>
      </c>
      <c r="F587" s="452" t="s">
        <v>1249</v>
      </c>
      <c r="G587" s="452" t="s">
        <v>1046</v>
      </c>
      <c r="H587" s="452" t="s">
        <v>1047</v>
      </c>
      <c r="I587" s="453" t="s">
        <v>844</v>
      </c>
      <c r="J587" s="453">
        <v>11842.5</v>
      </c>
      <c r="K587" s="461">
        <v>2469.3000000000002</v>
      </c>
      <c r="L587" s="461">
        <v>4686.6000000000004</v>
      </c>
      <c r="M587" s="461">
        <v>4686.6000000000004</v>
      </c>
      <c r="N587" s="461">
        <v>0</v>
      </c>
      <c r="O587" s="461">
        <v>0</v>
      </c>
      <c r="P587" s="461">
        <v>0</v>
      </c>
      <c r="Q587" s="461">
        <v>0</v>
      </c>
      <c r="R587" s="461">
        <v>0</v>
      </c>
      <c r="S587" s="461">
        <v>0</v>
      </c>
      <c r="T587" s="461">
        <v>0</v>
      </c>
      <c r="U587" s="461">
        <v>0</v>
      </c>
      <c r="V587" s="461">
        <v>0</v>
      </c>
    </row>
    <row r="588" spans="1:22" s="455" customFormat="1" hidden="1">
      <c r="A588" s="455" t="str">
        <f t="shared" si="18"/>
        <v>11519101001100</v>
      </c>
      <c r="B588" s="455">
        <f>VLOOKUP(LEFT($C$3:$C$2600,3),Table!$D$2:$E$88,2,FALSE)</f>
        <v>0</v>
      </c>
      <c r="C588" s="455" t="str">
        <f t="shared" si="19"/>
        <v>9101001100</v>
      </c>
      <c r="D588" s="455" t="e">
        <f>VLOOKUP(G588,Table!$G$3:$H$21,2,FALSE)</f>
        <v>#N/A</v>
      </c>
      <c r="E588" s="452" t="s">
        <v>902</v>
      </c>
      <c r="F588" s="452" t="s">
        <v>1249</v>
      </c>
      <c r="G588" s="452" t="s">
        <v>1048</v>
      </c>
      <c r="H588" s="452" t="s">
        <v>1049</v>
      </c>
      <c r="I588" s="453" t="s">
        <v>844</v>
      </c>
      <c r="J588" s="453">
        <v>1906.55</v>
      </c>
      <c r="K588" s="461">
        <v>818.82</v>
      </c>
      <c r="L588" s="461">
        <v>981.17</v>
      </c>
      <c r="M588" s="461">
        <v>135.28</v>
      </c>
      <c r="N588" s="461">
        <v>0</v>
      </c>
      <c r="O588" s="461">
        <v>0</v>
      </c>
      <c r="P588" s="461">
        <v>0</v>
      </c>
      <c r="Q588" s="461">
        <v>0</v>
      </c>
      <c r="R588" s="461">
        <v>0</v>
      </c>
      <c r="S588" s="461">
        <v>0</v>
      </c>
      <c r="T588" s="461">
        <v>0</v>
      </c>
      <c r="U588" s="461">
        <v>0</v>
      </c>
      <c r="V588" s="461">
        <v>0</v>
      </c>
    </row>
    <row r="589" spans="1:22" s="455" customFormat="1" hidden="1">
      <c r="A589" s="455" t="str">
        <f t="shared" si="18"/>
        <v>11519101001200</v>
      </c>
      <c r="B589" s="455">
        <f>VLOOKUP(LEFT($C$3:$C$2600,3),Table!$D$2:$E$88,2,FALSE)</f>
        <v>0</v>
      </c>
      <c r="C589" s="455" t="str">
        <f t="shared" si="19"/>
        <v>9101001200</v>
      </c>
      <c r="D589" s="455" t="e">
        <f>VLOOKUP(G589,Table!$G$3:$H$21,2,FALSE)</f>
        <v>#N/A</v>
      </c>
      <c r="E589" s="452" t="s">
        <v>902</v>
      </c>
      <c r="F589" s="452" t="s">
        <v>1249</v>
      </c>
      <c r="G589" s="452" t="s">
        <v>1050</v>
      </c>
      <c r="H589" s="452" t="s">
        <v>1051</v>
      </c>
      <c r="I589" s="453" t="s">
        <v>844</v>
      </c>
      <c r="J589" s="453">
        <v>1134.31</v>
      </c>
      <c r="K589" s="461">
        <v>230.52</v>
      </c>
      <c r="L589" s="461">
        <v>455.51</v>
      </c>
      <c r="M589" s="461">
        <v>448.28</v>
      </c>
      <c r="N589" s="461">
        <v>0</v>
      </c>
      <c r="O589" s="461">
        <v>0</v>
      </c>
      <c r="P589" s="461">
        <v>0</v>
      </c>
      <c r="Q589" s="461">
        <v>0</v>
      </c>
      <c r="R589" s="461">
        <v>0</v>
      </c>
      <c r="S589" s="461">
        <v>0</v>
      </c>
      <c r="T589" s="461">
        <v>0</v>
      </c>
      <c r="U589" s="461">
        <v>0</v>
      </c>
      <c r="V589" s="461">
        <v>0</v>
      </c>
    </row>
    <row r="590" spans="1:22" s="455" customFormat="1" hidden="1">
      <c r="A590" s="455" t="str">
        <f t="shared" si="18"/>
        <v>11519101001400</v>
      </c>
      <c r="B590" s="455">
        <f>VLOOKUP(LEFT($C$3:$C$2600,3),Table!$D$2:$E$88,2,FALSE)</f>
        <v>0</v>
      </c>
      <c r="C590" s="455" t="str">
        <f t="shared" si="19"/>
        <v>9101001400</v>
      </c>
      <c r="D590" s="455" t="e">
        <f>VLOOKUP(G590,Table!$G$3:$H$21,2,FALSE)</f>
        <v>#N/A</v>
      </c>
      <c r="E590" s="452" t="s">
        <v>902</v>
      </c>
      <c r="F590" s="452" t="s">
        <v>1249</v>
      </c>
      <c r="G590" s="452" t="s">
        <v>1054</v>
      </c>
      <c r="H590" s="452" t="s">
        <v>1055</v>
      </c>
      <c r="I590" s="453" t="s">
        <v>844</v>
      </c>
      <c r="J590" s="453">
        <v>1969</v>
      </c>
      <c r="K590" s="461">
        <v>408</v>
      </c>
      <c r="L590" s="461">
        <v>781</v>
      </c>
      <c r="M590" s="461">
        <v>780</v>
      </c>
      <c r="N590" s="461">
        <v>0</v>
      </c>
      <c r="O590" s="461">
        <v>0</v>
      </c>
      <c r="P590" s="461">
        <v>0</v>
      </c>
      <c r="Q590" s="461">
        <v>0</v>
      </c>
      <c r="R590" s="461">
        <v>0</v>
      </c>
      <c r="S590" s="461">
        <v>0</v>
      </c>
      <c r="T590" s="461">
        <v>0</v>
      </c>
      <c r="U590" s="461">
        <v>0</v>
      </c>
      <c r="V590" s="461">
        <v>0</v>
      </c>
    </row>
    <row r="591" spans="1:22" s="455" customFormat="1" hidden="1">
      <c r="A591" s="455" t="str">
        <f t="shared" si="18"/>
        <v>11519101001410</v>
      </c>
      <c r="B591" s="455">
        <f>VLOOKUP(LEFT($C$3:$C$2600,3),Table!$D$2:$E$88,2,FALSE)</f>
        <v>0</v>
      </c>
      <c r="C591" s="455" t="str">
        <f t="shared" si="19"/>
        <v>9101001410</v>
      </c>
      <c r="D591" s="455" t="e">
        <f>VLOOKUP(G591,Table!$G$3:$H$21,2,FALSE)</f>
        <v>#N/A</v>
      </c>
      <c r="E591" s="452" t="s">
        <v>902</v>
      </c>
      <c r="F591" s="452" t="s">
        <v>1249</v>
      </c>
      <c r="G591" s="452" t="s">
        <v>1056</v>
      </c>
      <c r="H591" s="452" t="s">
        <v>1057</v>
      </c>
      <c r="I591" s="453" t="s">
        <v>844</v>
      </c>
      <c r="J591" s="453">
        <v>60</v>
      </c>
      <c r="K591" s="461">
        <v>15</v>
      </c>
      <c r="L591" s="461">
        <v>30</v>
      </c>
      <c r="M591" s="461">
        <v>15</v>
      </c>
      <c r="N591" s="461">
        <v>0</v>
      </c>
      <c r="O591" s="461">
        <v>0</v>
      </c>
      <c r="P591" s="461">
        <v>0</v>
      </c>
      <c r="Q591" s="461">
        <v>0</v>
      </c>
      <c r="R591" s="461">
        <v>0</v>
      </c>
      <c r="S591" s="461">
        <v>0</v>
      </c>
      <c r="T591" s="461">
        <v>0</v>
      </c>
      <c r="U591" s="461">
        <v>0</v>
      </c>
      <c r="V591" s="461">
        <v>0</v>
      </c>
    </row>
    <row r="592" spans="1:22" s="455" customFormat="1" hidden="1">
      <c r="A592" s="455" t="str">
        <f t="shared" si="18"/>
        <v>11519101001500</v>
      </c>
      <c r="B592" s="455">
        <f>VLOOKUP(LEFT($C$3:$C$2600,3),Table!$D$2:$E$88,2,FALSE)</f>
        <v>0</v>
      </c>
      <c r="C592" s="455" t="str">
        <f t="shared" si="19"/>
        <v>9101001500</v>
      </c>
      <c r="D592" s="455" t="e">
        <f>VLOOKUP(G592,Table!$G$3:$H$21,2,FALSE)</f>
        <v>#N/A</v>
      </c>
      <c r="E592" s="452" t="s">
        <v>902</v>
      </c>
      <c r="F592" s="452" t="s">
        <v>1249</v>
      </c>
      <c r="G592" s="452" t="s">
        <v>1058</v>
      </c>
      <c r="H592" s="452" t="s">
        <v>1059</v>
      </c>
      <c r="I592" s="453" t="s">
        <v>844</v>
      </c>
      <c r="J592" s="453">
        <v>249.45</v>
      </c>
      <c r="K592" s="461">
        <v>51.65</v>
      </c>
      <c r="L592" s="461">
        <v>103.3</v>
      </c>
      <c r="M592" s="461">
        <v>94.5</v>
      </c>
      <c r="N592" s="461">
        <v>0</v>
      </c>
      <c r="O592" s="461">
        <v>0</v>
      </c>
      <c r="P592" s="461">
        <v>0</v>
      </c>
      <c r="Q592" s="461">
        <v>0</v>
      </c>
      <c r="R592" s="461">
        <v>0</v>
      </c>
      <c r="S592" s="461">
        <v>0</v>
      </c>
      <c r="T592" s="461">
        <v>0</v>
      </c>
      <c r="U592" s="461">
        <v>0</v>
      </c>
      <c r="V592" s="461">
        <v>0</v>
      </c>
    </row>
    <row r="593" spans="1:22" s="455" customFormat="1" hidden="1">
      <c r="A593" s="455" t="str">
        <f t="shared" si="18"/>
        <v>11519101001600</v>
      </c>
      <c r="B593" s="455">
        <f>VLOOKUP(LEFT($C$3:$C$2600,3),Table!$D$2:$E$88,2,FALSE)</f>
        <v>0</v>
      </c>
      <c r="C593" s="455" t="str">
        <f t="shared" si="19"/>
        <v>9101001600</v>
      </c>
      <c r="D593" s="455" t="e">
        <f>VLOOKUP(G593,Table!$G$3:$H$21,2,FALSE)</f>
        <v>#N/A</v>
      </c>
      <c r="E593" s="452" t="s">
        <v>902</v>
      </c>
      <c r="F593" s="452" t="s">
        <v>1249</v>
      </c>
      <c r="G593" s="452" t="s">
        <v>1060</v>
      </c>
      <c r="H593" s="452" t="s">
        <v>1061</v>
      </c>
      <c r="I593" s="453" t="s">
        <v>844</v>
      </c>
      <c r="J593" s="453">
        <v>2850.92</v>
      </c>
      <c r="K593" s="461">
        <v>563.4</v>
      </c>
      <c r="L593" s="461">
        <v>1218.22</v>
      </c>
      <c r="M593" s="461">
        <v>1069.3</v>
      </c>
      <c r="N593" s="461">
        <v>0</v>
      </c>
      <c r="O593" s="461">
        <v>0</v>
      </c>
      <c r="P593" s="461">
        <v>0</v>
      </c>
      <c r="Q593" s="461">
        <v>0</v>
      </c>
      <c r="R593" s="461">
        <v>0</v>
      </c>
      <c r="S593" s="461">
        <v>0</v>
      </c>
      <c r="T593" s="461">
        <v>0</v>
      </c>
      <c r="U593" s="461">
        <v>0</v>
      </c>
      <c r="V593" s="461">
        <v>0</v>
      </c>
    </row>
    <row r="594" spans="1:22" s="455" customFormat="1" hidden="1">
      <c r="A594" s="455" t="str">
        <f t="shared" si="18"/>
        <v>11519101001700</v>
      </c>
      <c r="B594" s="455">
        <f>VLOOKUP(LEFT($C$3:$C$2600,3),Table!$D$2:$E$88,2,FALSE)</f>
        <v>0</v>
      </c>
      <c r="C594" s="455" t="str">
        <f t="shared" si="19"/>
        <v>9101001700</v>
      </c>
      <c r="D594" s="455" t="e">
        <f>VLOOKUP(G594,Table!$G$3:$H$21,2,FALSE)</f>
        <v>#N/A</v>
      </c>
      <c r="E594" s="452" t="s">
        <v>902</v>
      </c>
      <c r="F594" s="452" t="s">
        <v>1249</v>
      </c>
      <c r="G594" s="452" t="s">
        <v>1062</v>
      </c>
      <c r="H594" s="452" t="s">
        <v>1063</v>
      </c>
      <c r="I594" s="453" t="s">
        <v>844</v>
      </c>
      <c r="J594" s="453">
        <v>-3058.23</v>
      </c>
      <c r="K594" s="461">
        <v>0</v>
      </c>
      <c r="L594" s="461">
        <v>109.98</v>
      </c>
      <c r="M594" s="461">
        <v>2637.88</v>
      </c>
      <c r="N594" s="461">
        <v>0</v>
      </c>
      <c r="O594" s="461">
        <v>0</v>
      </c>
      <c r="P594" s="461">
        <v>0</v>
      </c>
      <c r="Q594" s="461">
        <v>0</v>
      </c>
      <c r="R594" s="461">
        <v>0</v>
      </c>
      <c r="S594" s="461">
        <v>0</v>
      </c>
      <c r="T594" s="461">
        <v>0</v>
      </c>
      <c r="U594" s="461">
        <v>0</v>
      </c>
      <c r="V594" s="461">
        <v>0</v>
      </c>
    </row>
    <row r="595" spans="1:22" s="455" customFormat="1" hidden="1">
      <c r="A595" s="455" t="str">
        <f t="shared" si="18"/>
        <v>11519101001800</v>
      </c>
      <c r="B595" s="455">
        <f>VLOOKUP(LEFT($C$3:$C$2600,3),Table!$D$2:$E$88,2,FALSE)</f>
        <v>0</v>
      </c>
      <c r="C595" s="455" t="str">
        <f t="shared" si="19"/>
        <v>9101001800</v>
      </c>
      <c r="D595" s="455" t="e">
        <f>VLOOKUP(G595,Table!$G$3:$H$21,2,FALSE)</f>
        <v>#N/A</v>
      </c>
      <c r="E595" s="452" t="s">
        <v>902</v>
      </c>
      <c r="F595" s="452" t="s">
        <v>1249</v>
      </c>
      <c r="G595" s="452" t="s">
        <v>1064</v>
      </c>
      <c r="H595" s="452" t="s">
        <v>1065</v>
      </c>
      <c r="I595" s="453" t="s">
        <v>844</v>
      </c>
      <c r="J595" s="453">
        <v>489</v>
      </c>
      <c r="K595" s="461">
        <v>97.5</v>
      </c>
      <c r="L595" s="461">
        <v>216.5</v>
      </c>
      <c r="M595" s="461">
        <v>175</v>
      </c>
      <c r="N595" s="461">
        <v>0</v>
      </c>
      <c r="O595" s="461">
        <v>0</v>
      </c>
      <c r="P595" s="461">
        <v>0</v>
      </c>
      <c r="Q595" s="461">
        <v>0</v>
      </c>
      <c r="R595" s="461">
        <v>0</v>
      </c>
      <c r="S595" s="461">
        <v>0</v>
      </c>
      <c r="T595" s="461">
        <v>0</v>
      </c>
      <c r="U595" s="461">
        <v>0</v>
      </c>
      <c r="V595" s="461">
        <v>0</v>
      </c>
    </row>
    <row r="596" spans="1:22" s="455" customFormat="1" hidden="1">
      <c r="A596" s="455" t="str">
        <f t="shared" si="18"/>
        <v>11519101001900</v>
      </c>
      <c r="B596" s="455">
        <f>VLOOKUP(LEFT($C$3:$C$2600,3),Table!$D$2:$E$88,2,FALSE)</f>
        <v>0</v>
      </c>
      <c r="C596" s="455" t="str">
        <f t="shared" si="19"/>
        <v>9101001900</v>
      </c>
      <c r="D596" s="455" t="e">
        <f>VLOOKUP(G596,Table!$G$3:$H$21,2,FALSE)</f>
        <v>#N/A</v>
      </c>
      <c r="E596" s="452" t="s">
        <v>902</v>
      </c>
      <c r="F596" s="452" t="s">
        <v>1249</v>
      </c>
      <c r="G596" s="452" t="s">
        <v>1066</v>
      </c>
      <c r="H596" s="452" t="s">
        <v>1007</v>
      </c>
      <c r="I596" s="453" t="s">
        <v>844</v>
      </c>
      <c r="J596" s="453">
        <v>130.16</v>
      </c>
      <c r="K596" s="461">
        <v>27.16</v>
      </c>
      <c r="L596" s="461">
        <v>51.5</v>
      </c>
      <c r="M596" s="461">
        <v>51.5</v>
      </c>
      <c r="N596" s="461">
        <v>0</v>
      </c>
      <c r="O596" s="461">
        <v>0</v>
      </c>
      <c r="P596" s="461">
        <v>0</v>
      </c>
      <c r="Q596" s="461">
        <v>0</v>
      </c>
      <c r="R596" s="461">
        <v>0</v>
      </c>
      <c r="S596" s="461">
        <v>0</v>
      </c>
      <c r="T596" s="461">
        <v>0</v>
      </c>
      <c r="U596" s="461">
        <v>0</v>
      </c>
      <c r="V596" s="461">
        <v>0</v>
      </c>
    </row>
    <row r="597" spans="1:22" s="455" customFormat="1" hidden="1">
      <c r="A597" s="455" t="str">
        <f t="shared" si="18"/>
        <v>11519101101000</v>
      </c>
      <c r="B597" s="455">
        <f>VLOOKUP(LEFT($C$3:$C$2600,3),Table!$D$2:$E$88,2,FALSE)</f>
        <v>0</v>
      </c>
      <c r="C597" s="455" t="str">
        <f t="shared" si="19"/>
        <v>9101101000</v>
      </c>
      <c r="D597" s="455" t="e">
        <f>VLOOKUP(G597,Table!$G$3:$H$21,2,FALSE)</f>
        <v>#N/A</v>
      </c>
      <c r="E597" s="452" t="s">
        <v>902</v>
      </c>
      <c r="F597" s="452" t="s">
        <v>1249</v>
      </c>
      <c r="G597" s="452" t="s">
        <v>1067</v>
      </c>
      <c r="H597" s="452" t="s">
        <v>1068</v>
      </c>
      <c r="I597" s="453" t="s">
        <v>844</v>
      </c>
      <c r="J597" s="453">
        <v>15602.9</v>
      </c>
      <c r="K597" s="461">
        <v>5501.52</v>
      </c>
      <c r="L597" s="461">
        <v>5455.84</v>
      </c>
      <c r="M597" s="461">
        <v>5471.6</v>
      </c>
      <c r="N597" s="461">
        <v>0</v>
      </c>
      <c r="O597" s="461">
        <v>0</v>
      </c>
      <c r="P597" s="461">
        <v>0</v>
      </c>
      <c r="Q597" s="461">
        <v>0</v>
      </c>
      <c r="R597" s="461">
        <v>0</v>
      </c>
      <c r="S597" s="461">
        <v>0</v>
      </c>
      <c r="T597" s="461">
        <v>0</v>
      </c>
      <c r="U597" s="461">
        <v>0</v>
      </c>
      <c r="V597" s="461">
        <v>0</v>
      </c>
    </row>
    <row r="598" spans="1:22" s="455" customFormat="1" hidden="1">
      <c r="A598" s="455" t="str">
        <f t="shared" si="18"/>
        <v>11519101101100</v>
      </c>
      <c r="B598" s="455">
        <f>VLOOKUP(LEFT($C$3:$C$2600,3),Table!$D$2:$E$88,2,FALSE)</f>
        <v>0</v>
      </c>
      <c r="C598" s="455" t="str">
        <f t="shared" si="19"/>
        <v>9101101100</v>
      </c>
      <c r="D598" s="455" t="e">
        <f>VLOOKUP(G598,Table!$G$3:$H$21,2,FALSE)</f>
        <v>#N/A</v>
      </c>
      <c r="E598" s="452" t="s">
        <v>902</v>
      </c>
      <c r="F598" s="452" t="s">
        <v>1249</v>
      </c>
      <c r="G598" s="452" t="s">
        <v>1069</v>
      </c>
      <c r="H598" s="452" t="s">
        <v>1070</v>
      </c>
      <c r="I598" s="453" t="s">
        <v>844</v>
      </c>
      <c r="J598" s="453">
        <v>5272.37</v>
      </c>
      <c r="K598" s="461">
        <v>1909.7</v>
      </c>
      <c r="L598" s="461">
        <v>2501.65</v>
      </c>
      <c r="M598" s="461">
        <v>1092.24</v>
      </c>
      <c r="N598" s="461">
        <v>0</v>
      </c>
      <c r="O598" s="461">
        <v>0</v>
      </c>
      <c r="P598" s="461">
        <v>0</v>
      </c>
      <c r="Q598" s="461">
        <v>0</v>
      </c>
      <c r="R598" s="461">
        <v>0</v>
      </c>
      <c r="S598" s="461">
        <v>0</v>
      </c>
      <c r="T598" s="461">
        <v>0</v>
      </c>
      <c r="U598" s="461">
        <v>0</v>
      </c>
      <c r="V598" s="461">
        <v>0</v>
      </c>
    </row>
    <row r="599" spans="1:22" s="455" customFormat="1" hidden="1">
      <c r="A599" s="455" t="str">
        <f t="shared" si="18"/>
        <v>11519101101200</v>
      </c>
      <c r="B599" s="455">
        <f>VLOOKUP(LEFT($C$3:$C$2600,3),Table!$D$2:$E$88,2,FALSE)</f>
        <v>0</v>
      </c>
      <c r="C599" s="455" t="str">
        <f t="shared" si="19"/>
        <v>9101101200</v>
      </c>
      <c r="D599" s="455" t="e">
        <f>VLOOKUP(G599,Table!$G$3:$H$21,2,FALSE)</f>
        <v>#N/A</v>
      </c>
      <c r="E599" s="452" t="s">
        <v>902</v>
      </c>
      <c r="F599" s="452" t="s">
        <v>1249</v>
      </c>
      <c r="G599" s="452" t="s">
        <v>1071</v>
      </c>
      <c r="H599" s="452" t="s">
        <v>1072</v>
      </c>
      <c r="I599" s="453" t="s">
        <v>844</v>
      </c>
      <c r="J599" s="453">
        <v>1952.59</v>
      </c>
      <c r="K599" s="461">
        <v>661.91</v>
      </c>
      <c r="L599" s="461">
        <v>672.34</v>
      </c>
      <c r="M599" s="461">
        <v>618.34</v>
      </c>
      <c r="N599" s="461">
        <v>0</v>
      </c>
      <c r="O599" s="461">
        <v>0</v>
      </c>
      <c r="P599" s="461">
        <v>0</v>
      </c>
      <c r="Q599" s="461">
        <v>0</v>
      </c>
      <c r="R599" s="461">
        <v>0</v>
      </c>
      <c r="S599" s="461">
        <v>0</v>
      </c>
      <c r="T599" s="461">
        <v>0</v>
      </c>
      <c r="U599" s="461">
        <v>0</v>
      </c>
      <c r="V599" s="461">
        <v>0</v>
      </c>
    </row>
    <row r="600" spans="1:22" s="455" customFormat="1" hidden="1">
      <c r="A600" s="455" t="str">
        <f t="shared" si="18"/>
        <v>11519101101400</v>
      </c>
      <c r="B600" s="455">
        <f>VLOOKUP(LEFT($C$3:$C$2600,3),Table!$D$2:$E$88,2,FALSE)</f>
        <v>0</v>
      </c>
      <c r="C600" s="455" t="str">
        <f t="shared" si="19"/>
        <v>9101101400</v>
      </c>
      <c r="D600" s="455" t="e">
        <f>VLOOKUP(G600,Table!$G$3:$H$21,2,FALSE)</f>
        <v>#N/A</v>
      </c>
      <c r="E600" s="452" t="s">
        <v>902</v>
      </c>
      <c r="F600" s="452" t="s">
        <v>1249</v>
      </c>
      <c r="G600" s="452" t="s">
        <v>1075</v>
      </c>
      <c r="H600" s="452" t="s">
        <v>1076</v>
      </c>
      <c r="I600" s="453" t="s">
        <v>844</v>
      </c>
      <c r="J600" s="453">
        <v>2709</v>
      </c>
      <c r="K600" s="461">
        <v>895</v>
      </c>
      <c r="L600" s="461">
        <v>894</v>
      </c>
      <c r="M600" s="461">
        <v>920</v>
      </c>
      <c r="N600" s="461">
        <v>0</v>
      </c>
      <c r="O600" s="461">
        <v>0</v>
      </c>
      <c r="P600" s="461">
        <v>0</v>
      </c>
      <c r="Q600" s="461">
        <v>0</v>
      </c>
      <c r="R600" s="461">
        <v>0</v>
      </c>
      <c r="S600" s="461">
        <v>0</v>
      </c>
      <c r="T600" s="461">
        <v>0</v>
      </c>
      <c r="U600" s="461">
        <v>0</v>
      </c>
      <c r="V600" s="461">
        <v>0</v>
      </c>
    </row>
    <row r="601" spans="1:22" s="455" customFormat="1" hidden="1">
      <c r="A601" s="455" t="str">
        <f t="shared" si="18"/>
        <v>11519101101410</v>
      </c>
      <c r="B601" s="455">
        <f>VLOOKUP(LEFT($C$3:$C$2600,3),Table!$D$2:$E$88,2,FALSE)</f>
        <v>0</v>
      </c>
      <c r="C601" s="455" t="str">
        <f t="shared" si="19"/>
        <v>9101101410</v>
      </c>
      <c r="D601" s="455" t="e">
        <f>VLOOKUP(G601,Table!$G$3:$H$21,2,FALSE)</f>
        <v>#N/A</v>
      </c>
      <c r="E601" s="452" t="s">
        <v>902</v>
      </c>
      <c r="F601" s="452" t="s">
        <v>1249</v>
      </c>
      <c r="G601" s="452" t="s">
        <v>1077</v>
      </c>
      <c r="H601" s="452" t="s">
        <v>1078</v>
      </c>
      <c r="I601" s="453" t="s">
        <v>844</v>
      </c>
      <c r="J601" s="453">
        <v>90</v>
      </c>
      <c r="K601" s="461">
        <v>30</v>
      </c>
      <c r="L601" s="461">
        <v>30</v>
      </c>
      <c r="M601" s="461">
        <v>30</v>
      </c>
      <c r="N601" s="461">
        <v>0</v>
      </c>
      <c r="O601" s="461">
        <v>0</v>
      </c>
      <c r="P601" s="461">
        <v>0</v>
      </c>
      <c r="Q601" s="461">
        <v>0</v>
      </c>
      <c r="R601" s="461">
        <v>0</v>
      </c>
      <c r="S601" s="461">
        <v>0</v>
      </c>
      <c r="T601" s="461">
        <v>0</v>
      </c>
      <c r="U601" s="461">
        <v>0</v>
      </c>
      <c r="V601" s="461">
        <v>0</v>
      </c>
    </row>
    <row r="602" spans="1:22" s="455" customFormat="1" hidden="1">
      <c r="A602" s="455" t="str">
        <f t="shared" si="18"/>
        <v>11519101101500</v>
      </c>
      <c r="B602" s="455">
        <f>VLOOKUP(LEFT($C$3:$C$2600,3),Table!$D$2:$E$88,2,FALSE)</f>
        <v>0</v>
      </c>
      <c r="C602" s="455" t="str">
        <f t="shared" si="19"/>
        <v>9101101500</v>
      </c>
      <c r="D602" s="455" t="e">
        <f>VLOOKUP(G602,Table!$G$3:$H$21,2,FALSE)</f>
        <v>#N/A</v>
      </c>
      <c r="E602" s="452" t="s">
        <v>902</v>
      </c>
      <c r="F602" s="452" t="s">
        <v>1249</v>
      </c>
      <c r="G602" s="452" t="s">
        <v>1079</v>
      </c>
      <c r="H602" s="452" t="s">
        <v>1080</v>
      </c>
      <c r="I602" s="453" t="s">
        <v>844</v>
      </c>
      <c r="J602" s="453">
        <v>428.8</v>
      </c>
      <c r="K602" s="461">
        <v>143.5</v>
      </c>
      <c r="L602" s="461">
        <v>148.80000000000001</v>
      </c>
      <c r="M602" s="461">
        <v>136.5</v>
      </c>
      <c r="N602" s="461">
        <v>0</v>
      </c>
      <c r="O602" s="461">
        <v>0</v>
      </c>
      <c r="P602" s="461">
        <v>0</v>
      </c>
      <c r="Q602" s="461">
        <v>0</v>
      </c>
      <c r="R602" s="461">
        <v>0</v>
      </c>
      <c r="S602" s="461">
        <v>0</v>
      </c>
      <c r="T602" s="461">
        <v>0</v>
      </c>
      <c r="U602" s="461">
        <v>0</v>
      </c>
      <c r="V602" s="461">
        <v>0</v>
      </c>
    </row>
    <row r="603" spans="1:22" s="455" customFormat="1" hidden="1">
      <c r="A603" s="455" t="str">
        <f t="shared" si="18"/>
        <v>11519101101600</v>
      </c>
      <c r="B603" s="455">
        <f>VLOOKUP(LEFT($C$3:$C$2600,3),Table!$D$2:$E$88,2,FALSE)</f>
        <v>0</v>
      </c>
      <c r="C603" s="455" t="str">
        <f t="shared" si="19"/>
        <v>9101101600</v>
      </c>
      <c r="D603" s="455" t="e">
        <f>VLOOKUP(G603,Table!$G$3:$H$21,2,FALSE)</f>
        <v>#N/A</v>
      </c>
      <c r="E603" s="452" t="s">
        <v>902</v>
      </c>
      <c r="F603" s="452" t="s">
        <v>1249</v>
      </c>
      <c r="G603" s="452" t="s">
        <v>1081</v>
      </c>
      <c r="H603" s="452" t="s">
        <v>1082</v>
      </c>
      <c r="I603" s="453" t="s">
        <v>844</v>
      </c>
      <c r="J603" s="453">
        <v>3745.2</v>
      </c>
      <c r="K603" s="461">
        <v>1248.4000000000001</v>
      </c>
      <c r="L603" s="461">
        <v>1248.4000000000001</v>
      </c>
      <c r="M603" s="461">
        <v>1248.4000000000001</v>
      </c>
      <c r="N603" s="461">
        <v>0</v>
      </c>
      <c r="O603" s="461">
        <v>0</v>
      </c>
      <c r="P603" s="461">
        <v>0</v>
      </c>
      <c r="Q603" s="461">
        <v>0</v>
      </c>
      <c r="R603" s="461">
        <v>0</v>
      </c>
      <c r="S603" s="461">
        <v>0</v>
      </c>
      <c r="T603" s="461">
        <v>0</v>
      </c>
      <c r="U603" s="461">
        <v>0</v>
      </c>
      <c r="V603" s="461">
        <v>0</v>
      </c>
    </row>
    <row r="604" spans="1:22" s="455" customFormat="1" hidden="1">
      <c r="A604" s="455" t="str">
        <f t="shared" si="18"/>
        <v>11519101101700</v>
      </c>
      <c r="B604" s="455">
        <f>VLOOKUP(LEFT($C$3:$C$2600,3),Table!$D$2:$E$88,2,FALSE)</f>
        <v>0</v>
      </c>
      <c r="C604" s="455" t="str">
        <f t="shared" si="19"/>
        <v>9101101700</v>
      </c>
      <c r="D604" s="455" t="e">
        <f>VLOOKUP(G604,Table!$G$3:$H$21,2,FALSE)</f>
        <v>#N/A</v>
      </c>
      <c r="E604" s="452" t="s">
        <v>902</v>
      </c>
      <c r="F604" s="452" t="s">
        <v>1249</v>
      </c>
      <c r="G604" s="452" t="s">
        <v>1083</v>
      </c>
      <c r="H604" s="452" t="s">
        <v>1084</v>
      </c>
      <c r="I604" s="453" t="s">
        <v>844</v>
      </c>
      <c r="J604" s="453">
        <v>-5155.71</v>
      </c>
      <c r="K604" s="461">
        <v>284.69</v>
      </c>
      <c r="L604" s="461">
        <v>349.49</v>
      </c>
      <c r="M604" s="461">
        <v>86.15</v>
      </c>
      <c r="N604" s="461">
        <v>0</v>
      </c>
      <c r="O604" s="461">
        <v>0</v>
      </c>
      <c r="P604" s="461">
        <v>0</v>
      </c>
      <c r="Q604" s="461">
        <v>0</v>
      </c>
      <c r="R604" s="461">
        <v>0</v>
      </c>
      <c r="S604" s="461">
        <v>0</v>
      </c>
      <c r="T604" s="461">
        <v>0</v>
      </c>
      <c r="U604" s="461">
        <v>0</v>
      </c>
      <c r="V604" s="461">
        <v>0</v>
      </c>
    </row>
    <row r="605" spans="1:22" s="455" customFormat="1" hidden="1">
      <c r="A605" s="455" t="str">
        <f t="shared" si="18"/>
        <v>11519101101800</v>
      </c>
      <c r="B605" s="455">
        <f>VLOOKUP(LEFT($C$3:$C$2600,3),Table!$D$2:$E$88,2,FALSE)</f>
        <v>0</v>
      </c>
      <c r="C605" s="455" t="str">
        <f t="shared" si="19"/>
        <v>9101101800</v>
      </c>
      <c r="D605" s="455" t="e">
        <f>VLOOKUP(G605,Table!$G$3:$H$21,2,FALSE)</f>
        <v>#N/A</v>
      </c>
      <c r="E605" s="452" t="s">
        <v>902</v>
      </c>
      <c r="F605" s="452" t="s">
        <v>1249</v>
      </c>
      <c r="G605" s="452" t="s">
        <v>1085</v>
      </c>
      <c r="H605" s="452" t="s">
        <v>1086</v>
      </c>
      <c r="I605" s="453" t="s">
        <v>844</v>
      </c>
      <c r="J605" s="453">
        <v>1763.6</v>
      </c>
      <c r="K605" s="461">
        <v>631.70000000000005</v>
      </c>
      <c r="L605" s="461">
        <v>582.9</v>
      </c>
      <c r="M605" s="461">
        <v>549</v>
      </c>
      <c r="N605" s="461">
        <v>0</v>
      </c>
      <c r="O605" s="461">
        <v>0</v>
      </c>
      <c r="P605" s="461">
        <v>0</v>
      </c>
      <c r="Q605" s="461">
        <v>0</v>
      </c>
      <c r="R605" s="461">
        <v>0</v>
      </c>
      <c r="S605" s="461">
        <v>0</v>
      </c>
      <c r="T605" s="461">
        <v>0</v>
      </c>
      <c r="U605" s="461">
        <v>0</v>
      </c>
      <c r="V605" s="461">
        <v>0</v>
      </c>
    </row>
    <row r="606" spans="1:22" s="455" customFormat="1" hidden="1">
      <c r="A606" s="455" t="str">
        <f t="shared" si="18"/>
        <v>11519101101900</v>
      </c>
      <c r="B606" s="455">
        <f>VLOOKUP(LEFT($C$3:$C$2600,3),Table!$D$2:$E$88,2,FALSE)</f>
        <v>0</v>
      </c>
      <c r="C606" s="455" t="str">
        <f t="shared" si="19"/>
        <v>9101101900</v>
      </c>
      <c r="D606" s="455" t="e">
        <f>VLOOKUP(G606,Table!$G$3:$H$21,2,FALSE)</f>
        <v>#N/A</v>
      </c>
      <c r="E606" s="452" t="s">
        <v>902</v>
      </c>
      <c r="F606" s="452" t="s">
        <v>1249</v>
      </c>
      <c r="G606" s="452" t="s">
        <v>1087</v>
      </c>
      <c r="H606" s="452" t="s">
        <v>1088</v>
      </c>
      <c r="I606" s="453" t="s">
        <v>844</v>
      </c>
      <c r="J606" s="453">
        <v>186.06</v>
      </c>
      <c r="K606" s="461">
        <v>61.38</v>
      </c>
      <c r="L606" s="461">
        <v>61.54</v>
      </c>
      <c r="M606" s="461">
        <v>63.14</v>
      </c>
      <c r="N606" s="461">
        <v>0</v>
      </c>
      <c r="O606" s="461">
        <v>0</v>
      </c>
      <c r="P606" s="461">
        <v>0</v>
      </c>
      <c r="Q606" s="461">
        <v>0</v>
      </c>
      <c r="R606" s="461">
        <v>0</v>
      </c>
      <c r="S606" s="461">
        <v>0</v>
      </c>
      <c r="T606" s="461">
        <v>0</v>
      </c>
      <c r="U606" s="461">
        <v>0</v>
      </c>
      <c r="V606" s="461">
        <v>0</v>
      </c>
    </row>
    <row r="607" spans="1:22" s="455" customFormat="1" hidden="1">
      <c r="A607" s="455" t="str">
        <f t="shared" si="18"/>
        <v>11519101201000</v>
      </c>
      <c r="B607" s="455">
        <f>VLOOKUP(LEFT($C$3:$C$2600,3),Table!$D$2:$E$88,2,FALSE)</f>
        <v>0</v>
      </c>
      <c r="C607" s="455" t="str">
        <f t="shared" si="19"/>
        <v>9101201000</v>
      </c>
      <c r="D607" s="455" t="e">
        <f>VLOOKUP(G607,Table!$G$3:$H$21,2,FALSE)</f>
        <v>#N/A</v>
      </c>
      <c r="E607" s="452" t="s">
        <v>902</v>
      </c>
      <c r="F607" s="452" t="s">
        <v>1249</v>
      </c>
      <c r="G607" s="452" t="s">
        <v>1091</v>
      </c>
      <c r="H607" s="452" t="s">
        <v>1092</v>
      </c>
      <c r="I607" s="453" t="s">
        <v>844</v>
      </c>
      <c r="J607" s="453">
        <v>1412</v>
      </c>
      <c r="K607" s="461">
        <v>548</v>
      </c>
      <c r="L607" s="461">
        <v>222</v>
      </c>
      <c r="M607" s="461">
        <v>642</v>
      </c>
      <c r="N607" s="461">
        <v>0</v>
      </c>
      <c r="O607" s="461">
        <v>0</v>
      </c>
      <c r="P607" s="461">
        <v>0</v>
      </c>
      <c r="Q607" s="461">
        <v>0</v>
      </c>
      <c r="R607" s="461">
        <v>0</v>
      </c>
      <c r="S607" s="461">
        <v>0</v>
      </c>
      <c r="T607" s="461">
        <v>0</v>
      </c>
      <c r="U607" s="461">
        <v>0</v>
      </c>
      <c r="V607" s="461">
        <v>0</v>
      </c>
    </row>
    <row r="608" spans="1:22" s="455" customFormat="1" hidden="1">
      <c r="A608" s="455" t="str">
        <f t="shared" si="18"/>
        <v>11519101302500</v>
      </c>
      <c r="B608" s="455">
        <f>VLOOKUP(LEFT($C$3:$C$2600,3),Table!$D$2:$E$88,2,FALSE)</f>
        <v>0</v>
      </c>
      <c r="C608" s="455" t="str">
        <f t="shared" si="19"/>
        <v>9101302500</v>
      </c>
      <c r="D608" s="455" t="e">
        <f>VLOOKUP(G608,Table!$G$3:$H$21,2,FALSE)</f>
        <v>#N/A</v>
      </c>
      <c r="E608" s="452" t="s">
        <v>902</v>
      </c>
      <c r="F608" s="452" t="s">
        <v>1249</v>
      </c>
      <c r="G608" s="452" t="s">
        <v>973</v>
      </c>
      <c r="H608" s="452" t="s">
        <v>974</v>
      </c>
      <c r="I608" s="453" t="s">
        <v>844</v>
      </c>
      <c r="J608" s="453">
        <v>336.5</v>
      </c>
      <c r="K608" s="461">
        <v>199</v>
      </c>
      <c r="L608" s="461">
        <v>0</v>
      </c>
      <c r="M608" s="461">
        <v>137.5</v>
      </c>
      <c r="N608" s="461">
        <v>0</v>
      </c>
      <c r="O608" s="461">
        <v>0</v>
      </c>
      <c r="P608" s="461">
        <v>0</v>
      </c>
      <c r="Q608" s="461">
        <v>0</v>
      </c>
      <c r="R608" s="461">
        <v>0</v>
      </c>
      <c r="S608" s="461">
        <v>0</v>
      </c>
      <c r="T608" s="461">
        <v>0</v>
      </c>
      <c r="U608" s="461">
        <v>0</v>
      </c>
      <c r="V608" s="461">
        <v>0</v>
      </c>
    </row>
    <row r="609" spans="1:22" s="455" customFormat="1" hidden="1">
      <c r="A609" s="455" t="str">
        <f t="shared" si="18"/>
        <v>11519152020212</v>
      </c>
      <c r="B609" s="455">
        <f>VLOOKUP(LEFT($C$3:$C$2600,3),Table!$D$2:$E$88,2,FALSE)</f>
        <v>0</v>
      </c>
      <c r="C609" s="455" t="str">
        <f t="shared" si="19"/>
        <v>9152020212</v>
      </c>
      <c r="D609" s="455" t="e">
        <f>VLOOKUP(G609,Table!$G$3:$H$21,2,FALSE)</f>
        <v>#N/A</v>
      </c>
      <c r="E609" s="452" t="s">
        <v>902</v>
      </c>
      <c r="F609" s="452" t="s">
        <v>1249</v>
      </c>
      <c r="G609" s="452" t="s">
        <v>1023</v>
      </c>
      <c r="H609" s="452" t="s">
        <v>1024</v>
      </c>
      <c r="I609" s="453" t="s">
        <v>844</v>
      </c>
      <c r="J609" s="453">
        <v>1778</v>
      </c>
      <c r="K609" s="461">
        <v>110</v>
      </c>
      <c r="L609" s="461">
        <v>1558</v>
      </c>
      <c r="M609" s="461">
        <v>988</v>
      </c>
      <c r="N609" s="461">
        <v>0</v>
      </c>
      <c r="O609" s="461">
        <v>0</v>
      </c>
      <c r="P609" s="461">
        <v>0</v>
      </c>
      <c r="Q609" s="461">
        <v>0</v>
      </c>
      <c r="R609" s="461">
        <v>0</v>
      </c>
      <c r="S609" s="461">
        <v>0</v>
      </c>
      <c r="T609" s="461">
        <v>0</v>
      </c>
      <c r="U609" s="461">
        <v>0</v>
      </c>
      <c r="V609" s="461">
        <v>0</v>
      </c>
    </row>
    <row r="610" spans="1:22" s="455" customFormat="1" hidden="1">
      <c r="A610" s="455" t="str">
        <f t="shared" si="18"/>
        <v>11519152067311</v>
      </c>
      <c r="B610" s="455">
        <f>VLOOKUP(LEFT($C$3:$C$2600,3),Table!$D$2:$E$88,2,FALSE)</f>
        <v>0</v>
      </c>
      <c r="C610" s="455" t="str">
        <f t="shared" si="19"/>
        <v>9152067311</v>
      </c>
      <c r="D610" s="455" t="e">
        <f>VLOOKUP(G610,Table!$G$3:$H$21,2,FALSE)</f>
        <v>#N/A</v>
      </c>
      <c r="E610" s="452" t="s">
        <v>902</v>
      </c>
      <c r="F610" s="452" t="s">
        <v>1249</v>
      </c>
      <c r="G610" s="452" t="s">
        <v>1250</v>
      </c>
      <c r="H610" s="452" t="s">
        <v>1251</v>
      </c>
      <c r="I610" s="453" t="s">
        <v>844</v>
      </c>
      <c r="J610" s="453">
        <v>881</v>
      </c>
      <c r="K610" s="461">
        <v>881</v>
      </c>
      <c r="L610" s="461">
        <v>0</v>
      </c>
      <c r="M610" s="461">
        <v>0</v>
      </c>
      <c r="N610" s="461">
        <v>0</v>
      </c>
      <c r="O610" s="461">
        <v>0</v>
      </c>
      <c r="P610" s="461">
        <v>0</v>
      </c>
      <c r="Q610" s="461">
        <v>0</v>
      </c>
      <c r="R610" s="461">
        <v>0</v>
      </c>
      <c r="S610" s="461">
        <v>0</v>
      </c>
      <c r="T610" s="461">
        <v>0</v>
      </c>
      <c r="U610" s="461">
        <v>0</v>
      </c>
      <c r="V610" s="461">
        <v>0</v>
      </c>
    </row>
    <row r="611" spans="1:22" s="455" customFormat="1" hidden="1">
      <c r="A611" s="455" t="str">
        <f t="shared" si="18"/>
        <v>11519152067711</v>
      </c>
      <c r="B611" s="455">
        <f>VLOOKUP(LEFT($C$3:$C$2600,3),Table!$D$2:$E$88,2,FALSE)</f>
        <v>0</v>
      </c>
      <c r="C611" s="455" t="str">
        <f t="shared" si="19"/>
        <v>9152067711</v>
      </c>
      <c r="D611" s="455" t="e">
        <f>VLOOKUP(G611,Table!$G$3:$H$21,2,FALSE)</f>
        <v>#N/A</v>
      </c>
      <c r="E611" s="452" t="s">
        <v>902</v>
      </c>
      <c r="F611" s="452" t="s">
        <v>1249</v>
      </c>
      <c r="G611" s="452" t="s">
        <v>1252</v>
      </c>
      <c r="H611" s="452" t="s">
        <v>1253</v>
      </c>
      <c r="I611" s="453" t="s">
        <v>844</v>
      </c>
      <c r="J611" s="453">
        <v>398.16</v>
      </c>
      <c r="K611" s="461">
        <v>0</v>
      </c>
      <c r="L611" s="461">
        <v>398.16</v>
      </c>
      <c r="M611" s="461">
        <v>0</v>
      </c>
      <c r="N611" s="461">
        <v>0</v>
      </c>
      <c r="O611" s="461">
        <v>0</v>
      </c>
      <c r="P611" s="461">
        <v>0</v>
      </c>
      <c r="Q611" s="461">
        <v>0</v>
      </c>
      <c r="R611" s="461">
        <v>0</v>
      </c>
      <c r="S611" s="461">
        <v>0</v>
      </c>
      <c r="T611" s="461">
        <v>0</v>
      </c>
      <c r="U611" s="461">
        <v>0</v>
      </c>
      <c r="V611" s="461">
        <v>0</v>
      </c>
    </row>
    <row r="612" spans="1:22" s="455" customFormat="1" hidden="1">
      <c r="A612" s="455" t="str">
        <f t="shared" si="18"/>
        <v>11519152067712</v>
      </c>
      <c r="B612" s="455">
        <f>VLOOKUP(LEFT($C$3:$C$2600,3),Table!$D$2:$E$88,2,FALSE)</f>
        <v>0</v>
      </c>
      <c r="C612" s="455" t="str">
        <f t="shared" si="19"/>
        <v>9152067712</v>
      </c>
      <c r="D612" s="455" t="e">
        <f>VLOOKUP(G612,Table!$G$3:$H$21,2,FALSE)</f>
        <v>#N/A</v>
      </c>
      <c r="E612" s="452" t="s">
        <v>902</v>
      </c>
      <c r="F612" s="452" t="s">
        <v>1249</v>
      </c>
      <c r="G612" s="452" t="s">
        <v>1254</v>
      </c>
      <c r="H612" s="452" t="s">
        <v>1255</v>
      </c>
      <c r="I612" s="453" t="s">
        <v>844</v>
      </c>
      <c r="J612" s="453">
        <v>299</v>
      </c>
      <c r="K612" s="461">
        <v>299</v>
      </c>
      <c r="L612" s="461">
        <v>0</v>
      </c>
      <c r="M612" s="461">
        <v>0</v>
      </c>
      <c r="N612" s="461">
        <v>0</v>
      </c>
      <c r="O612" s="461">
        <v>0</v>
      </c>
      <c r="P612" s="461">
        <v>0</v>
      </c>
      <c r="Q612" s="461">
        <v>0</v>
      </c>
      <c r="R612" s="461">
        <v>0</v>
      </c>
      <c r="S612" s="461">
        <v>0</v>
      </c>
      <c r="T612" s="461">
        <v>0</v>
      </c>
      <c r="U612" s="461">
        <v>0</v>
      </c>
      <c r="V612" s="461">
        <v>0</v>
      </c>
    </row>
    <row r="613" spans="1:22" s="455" customFormat="1" hidden="1">
      <c r="A613" s="455" t="str">
        <f t="shared" si="18"/>
        <v>11519153001000</v>
      </c>
      <c r="B613" s="455">
        <f>VLOOKUP(LEFT($C$3:$C$2600,3),Table!$D$2:$E$88,2,FALSE)</f>
        <v>0</v>
      </c>
      <c r="C613" s="455" t="str">
        <f t="shared" si="19"/>
        <v>9153001000</v>
      </c>
      <c r="D613" s="455" t="e">
        <f>VLOOKUP(G613,Table!$G$3:$H$21,2,FALSE)</f>
        <v>#N/A</v>
      </c>
      <c r="E613" s="452" t="s">
        <v>902</v>
      </c>
      <c r="F613" s="452" t="s">
        <v>1249</v>
      </c>
      <c r="G613" s="452" t="s">
        <v>1043</v>
      </c>
      <c r="H613" s="452" t="s">
        <v>1044</v>
      </c>
      <c r="I613" s="453" t="s">
        <v>844</v>
      </c>
      <c r="J613" s="453">
        <v>6225</v>
      </c>
      <c r="K613" s="461">
        <v>2075</v>
      </c>
      <c r="L613" s="461">
        <v>2075</v>
      </c>
      <c r="M613" s="461">
        <v>2075</v>
      </c>
      <c r="N613" s="461">
        <v>0</v>
      </c>
      <c r="O613" s="461">
        <v>0</v>
      </c>
      <c r="P613" s="461">
        <v>0</v>
      </c>
      <c r="Q613" s="461">
        <v>0</v>
      </c>
      <c r="R613" s="461">
        <v>0</v>
      </c>
      <c r="S613" s="461">
        <v>0</v>
      </c>
      <c r="T613" s="461">
        <v>0</v>
      </c>
      <c r="U613" s="461">
        <v>0</v>
      </c>
      <c r="V613" s="461">
        <v>0</v>
      </c>
    </row>
    <row r="614" spans="1:22" s="455" customFormat="1" hidden="1">
      <c r="A614" s="455" t="str">
        <f t="shared" si="18"/>
        <v>11529101001000</v>
      </c>
      <c r="B614" s="455">
        <f>VLOOKUP(LEFT($C$3:$C$2600,3),Table!$D$2:$E$88,2,FALSE)</f>
        <v>0</v>
      </c>
      <c r="C614" s="455" t="str">
        <f t="shared" si="19"/>
        <v>9101001000</v>
      </c>
      <c r="D614" s="455" t="e">
        <f>VLOOKUP(G614,Table!$G$3:$H$21,2,FALSE)</f>
        <v>#N/A</v>
      </c>
      <c r="E614" s="452" t="s">
        <v>902</v>
      </c>
      <c r="F614" s="452" t="s">
        <v>1256</v>
      </c>
      <c r="G614" s="452" t="s">
        <v>1046</v>
      </c>
      <c r="H614" s="452" t="s">
        <v>1047</v>
      </c>
      <c r="I614" s="453" t="s">
        <v>844</v>
      </c>
      <c r="J614" s="453">
        <v>7170</v>
      </c>
      <c r="K614" s="461">
        <v>2390</v>
      </c>
      <c r="L614" s="461">
        <v>2390</v>
      </c>
      <c r="M614" s="461">
        <v>2390</v>
      </c>
      <c r="N614" s="461">
        <v>0</v>
      </c>
      <c r="O614" s="461">
        <v>0</v>
      </c>
      <c r="P614" s="461">
        <v>0</v>
      </c>
      <c r="Q614" s="461">
        <v>0</v>
      </c>
      <c r="R614" s="461">
        <v>0</v>
      </c>
      <c r="S614" s="461">
        <v>0</v>
      </c>
      <c r="T614" s="461">
        <v>0</v>
      </c>
      <c r="U614" s="461">
        <v>0</v>
      </c>
      <c r="V614" s="461">
        <v>0</v>
      </c>
    </row>
    <row r="615" spans="1:22" s="455" customFormat="1" hidden="1">
      <c r="A615" s="455" t="str">
        <f t="shared" si="18"/>
        <v>11529101001100</v>
      </c>
      <c r="B615" s="455">
        <f>VLOOKUP(LEFT($C$3:$C$2600,3),Table!$D$2:$E$88,2,FALSE)</f>
        <v>0</v>
      </c>
      <c r="C615" s="455" t="str">
        <f t="shared" si="19"/>
        <v>9101001100</v>
      </c>
      <c r="D615" s="455" t="e">
        <f>VLOOKUP(G615,Table!$G$3:$H$21,2,FALSE)</f>
        <v>#N/A</v>
      </c>
      <c r="E615" s="452" t="s">
        <v>902</v>
      </c>
      <c r="F615" s="452" t="s">
        <v>1256</v>
      </c>
      <c r="G615" s="452" t="s">
        <v>1048</v>
      </c>
      <c r="H615" s="452" t="s">
        <v>1049</v>
      </c>
      <c r="I615" s="453" t="s">
        <v>844</v>
      </c>
      <c r="J615" s="453">
        <v>4986.25</v>
      </c>
      <c r="K615" s="461">
        <v>2080.89</v>
      </c>
      <c r="L615" s="461">
        <v>1446.13</v>
      </c>
      <c r="M615" s="461">
        <v>1729.07</v>
      </c>
      <c r="N615" s="461">
        <v>0</v>
      </c>
      <c r="O615" s="461">
        <v>0</v>
      </c>
      <c r="P615" s="461">
        <v>0</v>
      </c>
      <c r="Q615" s="461">
        <v>0</v>
      </c>
      <c r="R615" s="461">
        <v>0</v>
      </c>
      <c r="S615" s="461">
        <v>0</v>
      </c>
      <c r="T615" s="461">
        <v>0</v>
      </c>
      <c r="U615" s="461">
        <v>0</v>
      </c>
      <c r="V615" s="461">
        <v>0</v>
      </c>
    </row>
    <row r="616" spans="1:22" s="455" customFormat="1" hidden="1">
      <c r="A616" s="455" t="str">
        <f t="shared" si="18"/>
        <v>11529101001200</v>
      </c>
      <c r="B616" s="455">
        <f>VLOOKUP(LEFT($C$3:$C$2600,3),Table!$D$2:$E$88,2,FALSE)</f>
        <v>0</v>
      </c>
      <c r="C616" s="455" t="str">
        <f t="shared" si="19"/>
        <v>9101001200</v>
      </c>
      <c r="D616" s="455" t="e">
        <f>VLOOKUP(G616,Table!$G$3:$H$21,2,FALSE)</f>
        <v>#N/A</v>
      </c>
      <c r="E616" s="452" t="s">
        <v>902</v>
      </c>
      <c r="F616" s="452" t="s">
        <v>1256</v>
      </c>
      <c r="G616" s="452" t="s">
        <v>1050</v>
      </c>
      <c r="H616" s="452" t="s">
        <v>1051</v>
      </c>
      <c r="I616" s="453" t="s">
        <v>844</v>
      </c>
      <c r="J616" s="453">
        <v>315</v>
      </c>
      <c r="K616" s="461">
        <v>108</v>
      </c>
      <c r="L616" s="461">
        <v>81</v>
      </c>
      <c r="M616" s="461">
        <v>126</v>
      </c>
      <c r="N616" s="461">
        <v>0</v>
      </c>
      <c r="O616" s="461">
        <v>0</v>
      </c>
      <c r="P616" s="461">
        <v>0</v>
      </c>
      <c r="Q616" s="461">
        <v>0</v>
      </c>
      <c r="R616" s="461">
        <v>0</v>
      </c>
      <c r="S616" s="461">
        <v>0</v>
      </c>
      <c r="T616" s="461">
        <v>0</v>
      </c>
      <c r="U616" s="461">
        <v>0</v>
      </c>
      <c r="V616" s="461">
        <v>0</v>
      </c>
    </row>
    <row r="617" spans="1:22" s="455" customFormat="1" hidden="1">
      <c r="A617" s="455" t="str">
        <f t="shared" si="18"/>
        <v>11529101001400</v>
      </c>
      <c r="B617" s="455">
        <f>VLOOKUP(LEFT($C$3:$C$2600,3),Table!$D$2:$E$88,2,FALSE)</f>
        <v>0</v>
      </c>
      <c r="C617" s="455" t="str">
        <f t="shared" si="19"/>
        <v>9101001400</v>
      </c>
      <c r="D617" s="455" t="e">
        <f>VLOOKUP(G617,Table!$G$3:$H$21,2,FALSE)</f>
        <v>#N/A</v>
      </c>
      <c r="E617" s="452" t="s">
        <v>902</v>
      </c>
      <c r="F617" s="452" t="s">
        <v>1256</v>
      </c>
      <c r="G617" s="452" t="s">
        <v>1054</v>
      </c>
      <c r="H617" s="452" t="s">
        <v>1055</v>
      </c>
      <c r="I617" s="453" t="s">
        <v>844</v>
      </c>
      <c r="J617" s="453">
        <v>462</v>
      </c>
      <c r="K617" s="461">
        <v>154</v>
      </c>
      <c r="L617" s="461">
        <v>153</v>
      </c>
      <c r="M617" s="461">
        <v>155</v>
      </c>
      <c r="N617" s="461">
        <v>0</v>
      </c>
      <c r="O617" s="461">
        <v>0</v>
      </c>
      <c r="P617" s="461">
        <v>0</v>
      </c>
      <c r="Q617" s="461">
        <v>0</v>
      </c>
      <c r="R617" s="461">
        <v>0</v>
      </c>
      <c r="S617" s="461">
        <v>0</v>
      </c>
      <c r="T617" s="461">
        <v>0</v>
      </c>
      <c r="U617" s="461">
        <v>0</v>
      </c>
      <c r="V617" s="461">
        <v>0</v>
      </c>
    </row>
    <row r="618" spans="1:22" s="455" customFormat="1" hidden="1">
      <c r="A618" s="455" t="str">
        <f t="shared" si="18"/>
        <v>11529101001500</v>
      </c>
      <c r="B618" s="455">
        <f>VLOOKUP(LEFT($C$3:$C$2600,3),Table!$D$2:$E$88,2,FALSE)</f>
        <v>0</v>
      </c>
      <c r="C618" s="455" t="str">
        <f t="shared" si="19"/>
        <v>9101001500</v>
      </c>
      <c r="D618" s="455" t="e">
        <f>VLOOKUP(G618,Table!$G$3:$H$21,2,FALSE)</f>
        <v>#N/A</v>
      </c>
      <c r="E618" s="452" t="s">
        <v>902</v>
      </c>
      <c r="F618" s="452" t="s">
        <v>1256</v>
      </c>
      <c r="G618" s="452" t="s">
        <v>1058</v>
      </c>
      <c r="H618" s="452" t="s">
        <v>1059</v>
      </c>
      <c r="I618" s="453" t="s">
        <v>844</v>
      </c>
      <c r="J618" s="453">
        <v>73.2</v>
      </c>
      <c r="K618" s="461">
        <v>24.4</v>
      </c>
      <c r="L618" s="461">
        <v>24.4</v>
      </c>
      <c r="M618" s="461">
        <v>24.4</v>
      </c>
      <c r="N618" s="461">
        <v>0</v>
      </c>
      <c r="O618" s="461">
        <v>0</v>
      </c>
      <c r="P618" s="461">
        <v>0</v>
      </c>
      <c r="Q618" s="461">
        <v>0</v>
      </c>
      <c r="R618" s="461">
        <v>0</v>
      </c>
      <c r="S618" s="461">
        <v>0</v>
      </c>
      <c r="T618" s="461">
        <v>0</v>
      </c>
      <c r="U618" s="461">
        <v>0</v>
      </c>
      <c r="V618" s="461">
        <v>0</v>
      </c>
    </row>
    <row r="619" spans="1:22" s="455" customFormat="1" hidden="1">
      <c r="A619" s="455" t="str">
        <f t="shared" si="18"/>
        <v>11529101001600</v>
      </c>
      <c r="B619" s="455">
        <f>VLOOKUP(LEFT($C$3:$C$2600,3),Table!$D$2:$E$88,2,FALSE)</f>
        <v>0</v>
      </c>
      <c r="C619" s="455" t="str">
        <f t="shared" si="19"/>
        <v>9101001600</v>
      </c>
      <c r="D619" s="455" t="e">
        <f>VLOOKUP(G619,Table!$G$3:$H$21,2,FALSE)</f>
        <v>#N/A</v>
      </c>
      <c r="E619" s="452" t="s">
        <v>902</v>
      </c>
      <c r="F619" s="452" t="s">
        <v>1256</v>
      </c>
      <c r="G619" s="452" t="s">
        <v>1060</v>
      </c>
      <c r="H619" s="452" t="s">
        <v>1061</v>
      </c>
      <c r="I619" s="453" t="s">
        <v>844</v>
      </c>
      <c r="J619" s="453">
        <v>1635.93</v>
      </c>
      <c r="K619" s="461">
        <v>545.30999999999995</v>
      </c>
      <c r="L619" s="461">
        <v>545.30999999999995</v>
      </c>
      <c r="M619" s="461">
        <v>545.30999999999995</v>
      </c>
      <c r="N619" s="461">
        <v>0</v>
      </c>
      <c r="O619" s="461">
        <v>0</v>
      </c>
      <c r="P619" s="461">
        <v>0</v>
      </c>
      <c r="Q619" s="461">
        <v>0</v>
      </c>
      <c r="R619" s="461">
        <v>0</v>
      </c>
      <c r="S619" s="461">
        <v>0</v>
      </c>
      <c r="T619" s="461">
        <v>0</v>
      </c>
      <c r="U619" s="461">
        <v>0</v>
      </c>
      <c r="V619" s="461">
        <v>0</v>
      </c>
    </row>
    <row r="620" spans="1:22" s="455" customFormat="1" hidden="1">
      <c r="A620" s="455" t="str">
        <f t="shared" si="18"/>
        <v>11529101001800</v>
      </c>
      <c r="B620" s="455">
        <f>VLOOKUP(LEFT($C$3:$C$2600,3),Table!$D$2:$E$88,2,FALSE)</f>
        <v>0</v>
      </c>
      <c r="C620" s="455" t="str">
        <f t="shared" si="19"/>
        <v>9101001800</v>
      </c>
      <c r="D620" s="455" t="e">
        <f>VLOOKUP(G620,Table!$G$3:$H$21,2,FALSE)</f>
        <v>#N/A</v>
      </c>
      <c r="E620" s="452" t="s">
        <v>902</v>
      </c>
      <c r="F620" s="452" t="s">
        <v>1256</v>
      </c>
      <c r="G620" s="452" t="s">
        <v>1064</v>
      </c>
      <c r="H620" s="452" t="s">
        <v>1065</v>
      </c>
      <c r="I620" s="453" t="s">
        <v>844</v>
      </c>
      <c r="J620" s="453">
        <v>617.4</v>
      </c>
      <c r="K620" s="461">
        <v>218</v>
      </c>
      <c r="L620" s="461">
        <v>185.6</v>
      </c>
      <c r="M620" s="461">
        <v>213.8</v>
      </c>
      <c r="N620" s="461">
        <v>0</v>
      </c>
      <c r="O620" s="461">
        <v>0</v>
      </c>
      <c r="P620" s="461">
        <v>0</v>
      </c>
      <c r="Q620" s="461">
        <v>0</v>
      </c>
      <c r="R620" s="461">
        <v>0</v>
      </c>
      <c r="S620" s="461">
        <v>0</v>
      </c>
      <c r="T620" s="461">
        <v>0</v>
      </c>
      <c r="U620" s="461">
        <v>0</v>
      </c>
      <c r="V620" s="461">
        <v>0</v>
      </c>
    </row>
    <row r="621" spans="1:22" s="455" customFormat="1" hidden="1">
      <c r="A621" s="455" t="str">
        <f t="shared" si="18"/>
        <v>11529101001900</v>
      </c>
      <c r="B621" s="455">
        <f>VLOOKUP(LEFT($C$3:$C$2600,3),Table!$D$2:$E$88,2,FALSE)</f>
        <v>0</v>
      </c>
      <c r="C621" s="455" t="str">
        <f t="shared" si="19"/>
        <v>9101001900</v>
      </c>
      <c r="D621" s="455" t="e">
        <f>VLOOKUP(G621,Table!$G$3:$H$21,2,FALSE)</f>
        <v>#N/A</v>
      </c>
      <c r="E621" s="452" t="s">
        <v>902</v>
      </c>
      <c r="F621" s="452" t="s">
        <v>1256</v>
      </c>
      <c r="G621" s="452" t="s">
        <v>1066</v>
      </c>
      <c r="H621" s="452" t="s">
        <v>1007</v>
      </c>
      <c r="I621" s="453" t="s">
        <v>844</v>
      </c>
      <c r="J621" s="453">
        <v>74.849999999999994</v>
      </c>
      <c r="K621" s="461">
        <v>24.98</v>
      </c>
      <c r="L621" s="461">
        <v>24.71</v>
      </c>
      <c r="M621" s="461">
        <v>25.16</v>
      </c>
      <c r="N621" s="461">
        <v>0</v>
      </c>
      <c r="O621" s="461">
        <v>0</v>
      </c>
      <c r="P621" s="461">
        <v>0</v>
      </c>
      <c r="Q621" s="461">
        <v>0</v>
      </c>
      <c r="R621" s="461">
        <v>0</v>
      </c>
      <c r="S621" s="461">
        <v>0</v>
      </c>
      <c r="T621" s="461">
        <v>0</v>
      </c>
      <c r="U621" s="461">
        <v>0</v>
      </c>
      <c r="V621" s="461">
        <v>0</v>
      </c>
    </row>
    <row r="622" spans="1:22" s="455" customFormat="1" hidden="1">
      <c r="A622" s="455" t="str">
        <f t="shared" si="18"/>
        <v>11529101101000</v>
      </c>
      <c r="B622" s="455">
        <f>VLOOKUP(LEFT($C$3:$C$2600,3),Table!$D$2:$E$88,2,FALSE)</f>
        <v>0</v>
      </c>
      <c r="C622" s="455" t="str">
        <f t="shared" si="19"/>
        <v>9101101000</v>
      </c>
      <c r="D622" s="455" t="e">
        <f>VLOOKUP(G622,Table!$G$3:$H$21,2,FALSE)</f>
        <v>#N/A</v>
      </c>
      <c r="E622" s="452" t="s">
        <v>902</v>
      </c>
      <c r="F622" s="452" t="s">
        <v>1256</v>
      </c>
      <c r="G622" s="452" t="s">
        <v>1067</v>
      </c>
      <c r="H622" s="452" t="s">
        <v>1068</v>
      </c>
      <c r="I622" s="453" t="s">
        <v>844</v>
      </c>
      <c r="J622" s="453">
        <v>26293.34</v>
      </c>
      <c r="K622" s="461">
        <v>9236.9</v>
      </c>
      <c r="L622" s="461">
        <v>9238.56</v>
      </c>
      <c r="M622" s="461">
        <v>9242.1299999999992</v>
      </c>
      <c r="N622" s="461">
        <v>0</v>
      </c>
      <c r="O622" s="461">
        <v>0</v>
      </c>
      <c r="P622" s="461">
        <v>0</v>
      </c>
      <c r="Q622" s="461">
        <v>0</v>
      </c>
      <c r="R622" s="461">
        <v>0</v>
      </c>
      <c r="S622" s="461">
        <v>0</v>
      </c>
      <c r="T622" s="461">
        <v>0</v>
      </c>
      <c r="U622" s="461">
        <v>0</v>
      </c>
      <c r="V622" s="461">
        <v>0</v>
      </c>
    </row>
    <row r="623" spans="1:22" s="455" customFormat="1" hidden="1">
      <c r="A623" s="455" t="str">
        <f t="shared" si="18"/>
        <v>11529101101100</v>
      </c>
      <c r="B623" s="455">
        <f>VLOOKUP(LEFT($C$3:$C$2600,3),Table!$D$2:$E$88,2,FALSE)</f>
        <v>0</v>
      </c>
      <c r="C623" s="455" t="str">
        <f t="shared" si="19"/>
        <v>9101101100</v>
      </c>
      <c r="D623" s="455" t="e">
        <f>VLOOKUP(G623,Table!$G$3:$H$21,2,FALSE)</f>
        <v>#N/A</v>
      </c>
      <c r="E623" s="452" t="s">
        <v>902</v>
      </c>
      <c r="F623" s="452" t="s">
        <v>1256</v>
      </c>
      <c r="G623" s="452" t="s">
        <v>1069</v>
      </c>
      <c r="H623" s="452" t="s">
        <v>1070</v>
      </c>
      <c r="I623" s="453" t="s">
        <v>844</v>
      </c>
      <c r="J623" s="453">
        <v>8170.01</v>
      </c>
      <c r="K623" s="461">
        <v>2847.87</v>
      </c>
      <c r="L623" s="461">
        <v>4056.03</v>
      </c>
      <c r="M623" s="461">
        <v>1633.79</v>
      </c>
      <c r="N623" s="461">
        <v>0</v>
      </c>
      <c r="O623" s="461">
        <v>0</v>
      </c>
      <c r="P623" s="461">
        <v>0</v>
      </c>
      <c r="Q623" s="461">
        <v>0</v>
      </c>
      <c r="R623" s="461">
        <v>0</v>
      </c>
      <c r="S623" s="461">
        <v>0</v>
      </c>
      <c r="T623" s="461">
        <v>0</v>
      </c>
      <c r="U623" s="461">
        <v>0</v>
      </c>
      <c r="V623" s="461">
        <v>0</v>
      </c>
    </row>
    <row r="624" spans="1:22" s="455" customFormat="1" hidden="1">
      <c r="A624" s="455" t="str">
        <f t="shared" si="18"/>
        <v>11529101101200</v>
      </c>
      <c r="B624" s="455">
        <f>VLOOKUP(LEFT($C$3:$C$2600,3),Table!$D$2:$E$88,2,FALSE)</f>
        <v>0</v>
      </c>
      <c r="C624" s="455" t="str">
        <f t="shared" si="19"/>
        <v>9101101200</v>
      </c>
      <c r="D624" s="455" t="e">
        <f>VLOOKUP(G624,Table!$G$3:$H$21,2,FALSE)</f>
        <v>#N/A</v>
      </c>
      <c r="E624" s="452" t="s">
        <v>902</v>
      </c>
      <c r="F624" s="452" t="s">
        <v>1256</v>
      </c>
      <c r="G624" s="452" t="s">
        <v>1071</v>
      </c>
      <c r="H624" s="452" t="s">
        <v>1072</v>
      </c>
      <c r="I624" s="453" t="s">
        <v>844</v>
      </c>
      <c r="J624" s="453">
        <v>3049.33</v>
      </c>
      <c r="K624" s="461">
        <v>1021.79</v>
      </c>
      <c r="L624" s="461">
        <v>1016.16</v>
      </c>
      <c r="M624" s="461">
        <v>1011.38</v>
      </c>
      <c r="N624" s="461">
        <v>0</v>
      </c>
      <c r="O624" s="461">
        <v>0</v>
      </c>
      <c r="P624" s="461">
        <v>0</v>
      </c>
      <c r="Q624" s="461">
        <v>0</v>
      </c>
      <c r="R624" s="461">
        <v>0</v>
      </c>
      <c r="S624" s="461">
        <v>0</v>
      </c>
      <c r="T624" s="461">
        <v>0</v>
      </c>
      <c r="U624" s="461">
        <v>0</v>
      </c>
      <c r="V624" s="461">
        <v>0</v>
      </c>
    </row>
    <row r="625" spans="1:22" s="455" customFormat="1" hidden="1">
      <c r="A625" s="455" t="str">
        <f t="shared" si="18"/>
        <v>11529101101400</v>
      </c>
      <c r="B625" s="455">
        <f>VLOOKUP(LEFT($C$3:$C$2600,3),Table!$D$2:$E$88,2,FALSE)</f>
        <v>0</v>
      </c>
      <c r="C625" s="455" t="str">
        <f t="shared" si="19"/>
        <v>9101101400</v>
      </c>
      <c r="D625" s="455" t="e">
        <f>VLOOKUP(G625,Table!$G$3:$H$21,2,FALSE)</f>
        <v>#N/A</v>
      </c>
      <c r="E625" s="452" t="s">
        <v>902</v>
      </c>
      <c r="F625" s="452" t="s">
        <v>1256</v>
      </c>
      <c r="G625" s="452" t="s">
        <v>1075</v>
      </c>
      <c r="H625" s="452" t="s">
        <v>1076</v>
      </c>
      <c r="I625" s="453" t="s">
        <v>844</v>
      </c>
      <c r="J625" s="453">
        <v>4751</v>
      </c>
      <c r="K625" s="461">
        <v>1568</v>
      </c>
      <c r="L625" s="461">
        <v>1564</v>
      </c>
      <c r="M625" s="461">
        <v>1619</v>
      </c>
      <c r="N625" s="461">
        <v>0</v>
      </c>
      <c r="O625" s="461">
        <v>0</v>
      </c>
      <c r="P625" s="461">
        <v>0</v>
      </c>
      <c r="Q625" s="461">
        <v>0</v>
      </c>
      <c r="R625" s="461">
        <v>0</v>
      </c>
      <c r="S625" s="461">
        <v>0</v>
      </c>
      <c r="T625" s="461">
        <v>0</v>
      </c>
      <c r="U625" s="461">
        <v>0</v>
      </c>
      <c r="V625" s="461">
        <v>0</v>
      </c>
    </row>
    <row r="626" spans="1:22" s="455" customFormat="1" hidden="1">
      <c r="A626" s="455" t="str">
        <f t="shared" si="18"/>
        <v>11529101101410</v>
      </c>
      <c r="B626" s="455">
        <f>VLOOKUP(LEFT($C$3:$C$2600,3),Table!$D$2:$E$88,2,FALSE)</f>
        <v>0</v>
      </c>
      <c r="C626" s="455" t="str">
        <f t="shared" si="19"/>
        <v>9101101410</v>
      </c>
      <c r="D626" s="455" t="e">
        <f>VLOOKUP(G626,Table!$G$3:$H$21,2,FALSE)</f>
        <v>#N/A</v>
      </c>
      <c r="E626" s="452" t="s">
        <v>902</v>
      </c>
      <c r="F626" s="452" t="s">
        <v>1256</v>
      </c>
      <c r="G626" s="452" t="s">
        <v>1077</v>
      </c>
      <c r="H626" s="452" t="s">
        <v>1078</v>
      </c>
      <c r="I626" s="453" t="s">
        <v>844</v>
      </c>
      <c r="J626" s="453">
        <v>135</v>
      </c>
      <c r="K626" s="461">
        <v>45</v>
      </c>
      <c r="L626" s="461">
        <v>45</v>
      </c>
      <c r="M626" s="461">
        <v>45</v>
      </c>
      <c r="N626" s="461">
        <v>0</v>
      </c>
      <c r="O626" s="461">
        <v>0</v>
      </c>
      <c r="P626" s="461">
        <v>0</v>
      </c>
      <c r="Q626" s="461">
        <v>0</v>
      </c>
      <c r="R626" s="461">
        <v>0</v>
      </c>
      <c r="S626" s="461">
        <v>0</v>
      </c>
      <c r="T626" s="461">
        <v>0</v>
      </c>
      <c r="U626" s="461">
        <v>0</v>
      </c>
      <c r="V626" s="461">
        <v>0</v>
      </c>
    </row>
    <row r="627" spans="1:22" s="455" customFormat="1" hidden="1">
      <c r="A627" s="455" t="str">
        <f t="shared" si="18"/>
        <v>11529101101500</v>
      </c>
      <c r="B627" s="455">
        <f>VLOOKUP(LEFT($C$3:$C$2600,3),Table!$D$2:$E$88,2,FALSE)</f>
        <v>0</v>
      </c>
      <c r="C627" s="455" t="str">
        <f t="shared" si="19"/>
        <v>9101101500</v>
      </c>
      <c r="D627" s="455" t="e">
        <f>VLOOKUP(G627,Table!$G$3:$H$21,2,FALSE)</f>
        <v>#N/A</v>
      </c>
      <c r="E627" s="452" t="s">
        <v>902</v>
      </c>
      <c r="F627" s="452" t="s">
        <v>1256</v>
      </c>
      <c r="G627" s="452" t="s">
        <v>1079</v>
      </c>
      <c r="H627" s="452" t="s">
        <v>1080</v>
      </c>
      <c r="I627" s="453" t="s">
        <v>844</v>
      </c>
      <c r="J627" s="453">
        <v>676.45</v>
      </c>
      <c r="K627" s="461">
        <v>228.35</v>
      </c>
      <c r="L627" s="461">
        <v>233.65</v>
      </c>
      <c r="M627" s="461">
        <v>214.45</v>
      </c>
      <c r="N627" s="461">
        <v>0</v>
      </c>
      <c r="O627" s="461">
        <v>0</v>
      </c>
      <c r="P627" s="461">
        <v>0</v>
      </c>
      <c r="Q627" s="461">
        <v>0</v>
      </c>
      <c r="R627" s="461">
        <v>0</v>
      </c>
      <c r="S627" s="461">
        <v>0</v>
      </c>
      <c r="T627" s="461">
        <v>0</v>
      </c>
      <c r="U627" s="461">
        <v>0</v>
      </c>
      <c r="V627" s="461">
        <v>0</v>
      </c>
    </row>
    <row r="628" spans="1:22" s="455" customFormat="1" hidden="1">
      <c r="A628" s="455" t="str">
        <f t="shared" si="18"/>
        <v>11529101101600</v>
      </c>
      <c r="B628" s="455">
        <f>VLOOKUP(LEFT($C$3:$C$2600,3),Table!$D$2:$E$88,2,FALSE)</f>
        <v>0</v>
      </c>
      <c r="C628" s="455" t="str">
        <f t="shared" si="19"/>
        <v>9101101600</v>
      </c>
      <c r="D628" s="455" t="e">
        <f>VLOOKUP(G628,Table!$G$3:$H$21,2,FALSE)</f>
        <v>#N/A</v>
      </c>
      <c r="E628" s="452" t="s">
        <v>902</v>
      </c>
      <c r="F628" s="452" t="s">
        <v>1256</v>
      </c>
      <c r="G628" s="452" t="s">
        <v>1081</v>
      </c>
      <c r="H628" s="452" t="s">
        <v>1082</v>
      </c>
      <c r="I628" s="453" t="s">
        <v>844</v>
      </c>
      <c r="J628" s="453">
        <v>6324.57</v>
      </c>
      <c r="K628" s="461">
        <v>2108.19</v>
      </c>
      <c r="L628" s="461">
        <v>2108.19</v>
      </c>
      <c r="M628" s="461">
        <v>2108.19</v>
      </c>
      <c r="N628" s="461">
        <v>0</v>
      </c>
      <c r="O628" s="461">
        <v>0</v>
      </c>
      <c r="P628" s="461">
        <v>0</v>
      </c>
      <c r="Q628" s="461">
        <v>0</v>
      </c>
      <c r="R628" s="461">
        <v>0</v>
      </c>
      <c r="S628" s="461">
        <v>0</v>
      </c>
      <c r="T628" s="461">
        <v>0</v>
      </c>
      <c r="U628" s="461">
        <v>0</v>
      </c>
      <c r="V628" s="461">
        <v>0</v>
      </c>
    </row>
    <row r="629" spans="1:22" s="455" customFormat="1" hidden="1">
      <c r="A629" s="455" t="str">
        <f t="shared" si="18"/>
        <v>11529101101700</v>
      </c>
      <c r="B629" s="455">
        <f>VLOOKUP(LEFT($C$3:$C$2600,3),Table!$D$2:$E$88,2,FALSE)</f>
        <v>0</v>
      </c>
      <c r="C629" s="455" t="str">
        <f t="shared" si="19"/>
        <v>9101101700</v>
      </c>
      <c r="D629" s="455" t="e">
        <f>VLOOKUP(G629,Table!$G$3:$H$21,2,FALSE)</f>
        <v>#N/A</v>
      </c>
      <c r="E629" s="452" t="s">
        <v>902</v>
      </c>
      <c r="F629" s="452" t="s">
        <v>1256</v>
      </c>
      <c r="G629" s="452" t="s">
        <v>1083</v>
      </c>
      <c r="H629" s="452" t="s">
        <v>1084</v>
      </c>
      <c r="I629" s="453" t="s">
        <v>844</v>
      </c>
      <c r="J629" s="453">
        <v>-10147.9</v>
      </c>
      <c r="K629" s="461">
        <v>314.8</v>
      </c>
      <c r="L629" s="461">
        <v>428.06</v>
      </c>
      <c r="M629" s="461">
        <v>81.36</v>
      </c>
      <c r="N629" s="461">
        <v>0</v>
      </c>
      <c r="O629" s="461">
        <v>0</v>
      </c>
      <c r="P629" s="461">
        <v>0</v>
      </c>
      <c r="Q629" s="461">
        <v>0</v>
      </c>
      <c r="R629" s="461">
        <v>0</v>
      </c>
      <c r="S629" s="461">
        <v>0</v>
      </c>
      <c r="T629" s="461">
        <v>0</v>
      </c>
      <c r="U629" s="461">
        <v>0</v>
      </c>
      <c r="V629" s="461">
        <v>0</v>
      </c>
    </row>
    <row r="630" spans="1:22" s="455" customFormat="1" hidden="1">
      <c r="A630" s="455" t="str">
        <f t="shared" si="18"/>
        <v>11529101101800</v>
      </c>
      <c r="B630" s="455">
        <f>VLOOKUP(LEFT($C$3:$C$2600,3),Table!$D$2:$E$88,2,FALSE)</f>
        <v>0</v>
      </c>
      <c r="C630" s="455" t="str">
        <f t="shared" si="19"/>
        <v>9101101800</v>
      </c>
      <c r="D630" s="455" t="e">
        <f>VLOOKUP(G630,Table!$G$3:$H$21,2,FALSE)</f>
        <v>#N/A</v>
      </c>
      <c r="E630" s="452" t="s">
        <v>902</v>
      </c>
      <c r="F630" s="452" t="s">
        <v>1256</v>
      </c>
      <c r="G630" s="452" t="s">
        <v>1085</v>
      </c>
      <c r="H630" s="452" t="s">
        <v>1086</v>
      </c>
      <c r="I630" s="453" t="s">
        <v>844</v>
      </c>
      <c r="J630" s="453">
        <v>1914.3</v>
      </c>
      <c r="K630" s="461">
        <v>681.6</v>
      </c>
      <c r="L630" s="461">
        <v>623.79999999999995</v>
      </c>
      <c r="M630" s="461">
        <v>608.9</v>
      </c>
      <c r="N630" s="461">
        <v>0</v>
      </c>
      <c r="O630" s="461">
        <v>0</v>
      </c>
      <c r="P630" s="461">
        <v>0</v>
      </c>
      <c r="Q630" s="461">
        <v>0</v>
      </c>
      <c r="R630" s="461">
        <v>0</v>
      </c>
      <c r="S630" s="461">
        <v>0</v>
      </c>
      <c r="T630" s="461">
        <v>0</v>
      </c>
      <c r="U630" s="461">
        <v>0</v>
      </c>
      <c r="V630" s="461">
        <v>0</v>
      </c>
    </row>
    <row r="631" spans="1:22" s="455" customFormat="1" hidden="1">
      <c r="A631" s="455" t="str">
        <f t="shared" si="18"/>
        <v>11529101101900</v>
      </c>
      <c r="B631" s="455">
        <f>VLOOKUP(LEFT($C$3:$C$2600,3),Table!$D$2:$E$88,2,FALSE)</f>
        <v>0</v>
      </c>
      <c r="C631" s="455" t="str">
        <f t="shared" si="19"/>
        <v>9101101900</v>
      </c>
      <c r="D631" s="455" t="e">
        <f>VLOOKUP(G631,Table!$G$3:$H$21,2,FALSE)</f>
        <v>#N/A</v>
      </c>
      <c r="E631" s="452" t="s">
        <v>902</v>
      </c>
      <c r="F631" s="452" t="s">
        <v>1256</v>
      </c>
      <c r="G631" s="452" t="s">
        <v>1087</v>
      </c>
      <c r="H631" s="452" t="s">
        <v>1088</v>
      </c>
      <c r="I631" s="453" t="s">
        <v>844</v>
      </c>
      <c r="J631" s="453">
        <v>311.91000000000003</v>
      </c>
      <c r="K631" s="461">
        <v>102.78</v>
      </c>
      <c r="L631" s="461">
        <v>102.78</v>
      </c>
      <c r="M631" s="461">
        <v>106.35</v>
      </c>
      <c r="N631" s="461">
        <v>0</v>
      </c>
      <c r="O631" s="461">
        <v>0</v>
      </c>
      <c r="P631" s="461">
        <v>0</v>
      </c>
      <c r="Q631" s="461">
        <v>0</v>
      </c>
      <c r="R631" s="461">
        <v>0</v>
      </c>
      <c r="S631" s="461">
        <v>0</v>
      </c>
      <c r="T631" s="461">
        <v>0</v>
      </c>
      <c r="U631" s="461">
        <v>0</v>
      </c>
      <c r="V631" s="461">
        <v>0</v>
      </c>
    </row>
    <row r="632" spans="1:22" s="455" customFormat="1" hidden="1">
      <c r="A632" s="455" t="str">
        <f t="shared" si="18"/>
        <v>11529101201000</v>
      </c>
      <c r="B632" s="455">
        <f>VLOOKUP(LEFT($C$3:$C$2600,3),Table!$D$2:$E$88,2,FALSE)</f>
        <v>0</v>
      </c>
      <c r="C632" s="455" t="str">
        <f t="shared" si="19"/>
        <v>9101201000</v>
      </c>
      <c r="D632" s="455" t="e">
        <f>VLOOKUP(G632,Table!$G$3:$H$21,2,FALSE)</f>
        <v>#N/A</v>
      </c>
      <c r="E632" s="452" t="s">
        <v>902</v>
      </c>
      <c r="F632" s="452" t="s">
        <v>1256</v>
      </c>
      <c r="G632" s="452" t="s">
        <v>1091</v>
      </c>
      <c r="H632" s="452" t="s">
        <v>1092</v>
      </c>
      <c r="I632" s="453" t="s">
        <v>844</v>
      </c>
      <c r="J632" s="453">
        <v>13151</v>
      </c>
      <c r="K632" s="461">
        <v>3307</v>
      </c>
      <c r="L632" s="461">
        <v>5699</v>
      </c>
      <c r="M632" s="461">
        <v>4145</v>
      </c>
      <c r="N632" s="461">
        <v>0</v>
      </c>
      <c r="O632" s="461">
        <v>0</v>
      </c>
      <c r="P632" s="461">
        <v>0</v>
      </c>
      <c r="Q632" s="461">
        <v>0</v>
      </c>
      <c r="R632" s="461">
        <v>0</v>
      </c>
      <c r="S632" s="461">
        <v>0</v>
      </c>
      <c r="T632" s="461">
        <v>0</v>
      </c>
      <c r="U632" s="461">
        <v>0</v>
      </c>
      <c r="V632" s="461">
        <v>0</v>
      </c>
    </row>
    <row r="633" spans="1:22" s="455" customFormat="1" hidden="1">
      <c r="A633" s="455" t="str">
        <f t="shared" si="18"/>
        <v>11529101302500</v>
      </c>
      <c r="B633" s="455">
        <f>VLOOKUP(LEFT($C$3:$C$2600,3),Table!$D$2:$E$88,2,FALSE)</f>
        <v>0</v>
      </c>
      <c r="C633" s="455" t="str">
        <f t="shared" si="19"/>
        <v>9101302500</v>
      </c>
      <c r="D633" s="455" t="e">
        <f>VLOOKUP(G633,Table!$G$3:$H$21,2,FALSE)</f>
        <v>#N/A</v>
      </c>
      <c r="E633" s="452" t="s">
        <v>902</v>
      </c>
      <c r="F633" s="452" t="s">
        <v>1256</v>
      </c>
      <c r="G633" s="452" t="s">
        <v>973</v>
      </c>
      <c r="H633" s="452" t="s">
        <v>974</v>
      </c>
      <c r="I633" s="453" t="s">
        <v>844</v>
      </c>
      <c r="J633" s="453">
        <v>1400</v>
      </c>
      <c r="K633" s="461">
        <v>0</v>
      </c>
      <c r="L633" s="461">
        <v>1400</v>
      </c>
      <c r="M633" s="461">
        <v>480</v>
      </c>
      <c r="N633" s="461">
        <v>0</v>
      </c>
      <c r="O633" s="461">
        <v>0</v>
      </c>
      <c r="P633" s="461">
        <v>0</v>
      </c>
      <c r="Q633" s="461">
        <v>0</v>
      </c>
      <c r="R633" s="461">
        <v>0</v>
      </c>
      <c r="S633" s="461">
        <v>0</v>
      </c>
      <c r="T633" s="461">
        <v>0</v>
      </c>
      <c r="U633" s="461">
        <v>0</v>
      </c>
      <c r="V633" s="461">
        <v>0</v>
      </c>
    </row>
    <row r="634" spans="1:22" s="455" customFormat="1" hidden="1">
      <c r="A634" s="455" t="str">
        <f t="shared" si="18"/>
        <v>11529152020212</v>
      </c>
      <c r="B634" s="455">
        <f>VLOOKUP(LEFT($C$3:$C$2600,3),Table!$D$2:$E$88,2,FALSE)</f>
        <v>0</v>
      </c>
      <c r="C634" s="455" t="str">
        <f t="shared" si="19"/>
        <v>9152020212</v>
      </c>
      <c r="D634" s="455" t="e">
        <f>VLOOKUP(G634,Table!$G$3:$H$21,2,FALSE)</f>
        <v>#N/A</v>
      </c>
      <c r="E634" s="452" t="s">
        <v>902</v>
      </c>
      <c r="F634" s="452" t="s">
        <v>1256</v>
      </c>
      <c r="G634" s="452" t="s">
        <v>1023</v>
      </c>
      <c r="H634" s="452" t="s">
        <v>1024</v>
      </c>
      <c r="I634" s="453" t="s">
        <v>844</v>
      </c>
      <c r="J634" s="453">
        <v>220</v>
      </c>
      <c r="K634" s="461">
        <v>0</v>
      </c>
      <c r="L634" s="461">
        <v>0</v>
      </c>
      <c r="M634" s="461">
        <v>220</v>
      </c>
      <c r="N634" s="461">
        <v>0</v>
      </c>
      <c r="O634" s="461">
        <v>0</v>
      </c>
      <c r="P634" s="461">
        <v>0</v>
      </c>
      <c r="Q634" s="461">
        <v>0</v>
      </c>
      <c r="R634" s="461">
        <v>0</v>
      </c>
      <c r="S634" s="461">
        <v>0</v>
      </c>
      <c r="T634" s="461">
        <v>0</v>
      </c>
      <c r="U634" s="461">
        <v>0</v>
      </c>
      <c r="V634" s="461">
        <v>0</v>
      </c>
    </row>
    <row r="635" spans="1:22" s="455" customFormat="1" hidden="1">
      <c r="A635" s="455" t="str">
        <f t="shared" si="18"/>
        <v>11529152067811</v>
      </c>
      <c r="B635" s="455">
        <f>VLOOKUP(LEFT($C$3:$C$2600,3),Table!$D$2:$E$88,2,FALSE)</f>
        <v>0</v>
      </c>
      <c r="C635" s="455" t="str">
        <f t="shared" si="19"/>
        <v>9152067811</v>
      </c>
      <c r="D635" s="455" t="e">
        <f>VLOOKUP(G635,Table!$G$3:$H$21,2,FALSE)</f>
        <v>#N/A</v>
      </c>
      <c r="E635" s="452" t="s">
        <v>902</v>
      </c>
      <c r="F635" s="452" t="s">
        <v>1256</v>
      </c>
      <c r="G635" s="452" t="s">
        <v>1257</v>
      </c>
      <c r="H635" s="452" t="s">
        <v>1258</v>
      </c>
      <c r="I635" s="453" t="s">
        <v>844</v>
      </c>
      <c r="J635" s="453">
        <v>4633.57</v>
      </c>
      <c r="K635" s="461">
        <v>0</v>
      </c>
      <c r="L635" s="461">
        <v>150</v>
      </c>
      <c r="M635" s="461">
        <v>4507.57</v>
      </c>
      <c r="N635" s="461">
        <v>0</v>
      </c>
      <c r="O635" s="461">
        <v>0</v>
      </c>
      <c r="P635" s="461">
        <v>0</v>
      </c>
      <c r="Q635" s="461">
        <v>0</v>
      </c>
      <c r="R635" s="461">
        <v>0</v>
      </c>
      <c r="S635" s="461">
        <v>0</v>
      </c>
      <c r="T635" s="461">
        <v>0</v>
      </c>
      <c r="U635" s="461">
        <v>0</v>
      </c>
      <c r="V635" s="461">
        <v>0</v>
      </c>
    </row>
    <row r="636" spans="1:22" s="455" customFormat="1" hidden="1">
      <c r="A636" s="455" t="str">
        <f t="shared" si="18"/>
        <v>11529152090000</v>
      </c>
      <c r="B636" s="455">
        <f>VLOOKUP(LEFT($C$3:$C$2600,3),Table!$D$2:$E$88,2,FALSE)</f>
        <v>0</v>
      </c>
      <c r="C636" s="455" t="str">
        <f t="shared" si="19"/>
        <v>9152090000</v>
      </c>
      <c r="D636" s="455" t="e">
        <f>VLOOKUP(G636,Table!$G$3:$H$21,2,FALSE)</f>
        <v>#N/A</v>
      </c>
      <c r="E636" s="452" t="s">
        <v>902</v>
      </c>
      <c r="F636" s="452" t="s">
        <v>1256</v>
      </c>
      <c r="G636" s="452" t="s">
        <v>1033</v>
      </c>
      <c r="H636" s="452" t="s">
        <v>1034</v>
      </c>
      <c r="I636" s="453" t="s">
        <v>844</v>
      </c>
      <c r="J636" s="453">
        <v>1410</v>
      </c>
      <c r="K636" s="461">
        <v>260</v>
      </c>
      <c r="L636" s="461">
        <v>0</v>
      </c>
      <c r="M636" s="461">
        <v>1150</v>
      </c>
      <c r="N636" s="461">
        <v>0</v>
      </c>
      <c r="O636" s="461">
        <v>0</v>
      </c>
      <c r="P636" s="461">
        <v>0</v>
      </c>
      <c r="Q636" s="461">
        <v>0</v>
      </c>
      <c r="R636" s="461">
        <v>0</v>
      </c>
      <c r="S636" s="461">
        <v>0</v>
      </c>
      <c r="T636" s="461">
        <v>0</v>
      </c>
      <c r="U636" s="461">
        <v>0</v>
      </c>
      <c r="V636" s="461">
        <v>0</v>
      </c>
    </row>
    <row r="637" spans="1:22" s="455" customFormat="1" hidden="1">
      <c r="A637" s="455" t="str">
        <f t="shared" si="18"/>
        <v>11529153001000</v>
      </c>
      <c r="B637" s="455">
        <f>VLOOKUP(LEFT($C$3:$C$2600,3),Table!$D$2:$E$88,2,FALSE)</f>
        <v>0</v>
      </c>
      <c r="C637" s="455" t="str">
        <f t="shared" si="19"/>
        <v>9153001000</v>
      </c>
      <c r="D637" s="455" t="e">
        <f>VLOOKUP(G637,Table!$G$3:$H$21,2,FALSE)</f>
        <v>#N/A</v>
      </c>
      <c r="E637" s="452" t="s">
        <v>902</v>
      </c>
      <c r="F637" s="452" t="s">
        <v>1256</v>
      </c>
      <c r="G637" s="452" t="s">
        <v>1043</v>
      </c>
      <c r="H637" s="452" t="s">
        <v>1044</v>
      </c>
      <c r="I637" s="453" t="s">
        <v>844</v>
      </c>
      <c r="J637" s="453">
        <v>70103</v>
      </c>
      <c r="K637" s="461">
        <v>19937</v>
      </c>
      <c r="L637" s="461">
        <v>19937</v>
      </c>
      <c r="M637" s="461">
        <v>30229</v>
      </c>
      <c r="N637" s="461">
        <v>0</v>
      </c>
      <c r="O637" s="461">
        <v>0</v>
      </c>
      <c r="P637" s="461">
        <v>0</v>
      </c>
      <c r="Q637" s="461">
        <v>0</v>
      </c>
      <c r="R637" s="461">
        <v>0</v>
      </c>
      <c r="S637" s="461">
        <v>0</v>
      </c>
      <c r="T637" s="461">
        <v>0</v>
      </c>
      <c r="U637" s="461">
        <v>0</v>
      </c>
      <c r="V637" s="461">
        <v>0</v>
      </c>
    </row>
    <row r="638" spans="1:22" s="455" customFormat="1" hidden="1">
      <c r="A638" s="455" t="str">
        <f t="shared" si="18"/>
        <v>11609101303100</v>
      </c>
      <c r="B638" s="455">
        <f>VLOOKUP(LEFT($C$3:$C$2600,3),Table!$D$2:$E$88,2,FALSE)</f>
        <v>0</v>
      </c>
      <c r="C638" s="455" t="str">
        <f t="shared" si="19"/>
        <v>9101303100</v>
      </c>
      <c r="D638" s="455" t="e">
        <f>VLOOKUP(G638,Table!$G$3:$H$21,2,FALSE)</f>
        <v>#N/A</v>
      </c>
      <c r="E638" s="452" t="s">
        <v>902</v>
      </c>
      <c r="F638" s="452" t="s">
        <v>1259</v>
      </c>
      <c r="G638" s="452" t="s">
        <v>1260</v>
      </c>
      <c r="H638" s="452" t="s">
        <v>1261</v>
      </c>
      <c r="I638" s="453" t="s">
        <v>844</v>
      </c>
      <c r="J638" s="453">
        <v>320438</v>
      </c>
      <c r="K638" s="461">
        <v>103474</v>
      </c>
      <c r="L638" s="461">
        <v>80541</v>
      </c>
      <c r="M638" s="461">
        <v>136423</v>
      </c>
      <c r="N638" s="461">
        <v>0</v>
      </c>
      <c r="O638" s="461">
        <v>0</v>
      </c>
      <c r="P638" s="461">
        <v>0</v>
      </c>
      <c r="Q638" s="461">
        <v>0</v>
      </c>
      <c r="R638" s="461">
        <v>0</v>
      </c>
      <c r="S638" s="461">
        <v>0</v>
      </c>
      <c r="T638" s="461">
        <v>0</v>
      </c>
      <c r="U638" s="461">
        <v>0</v>
      </c>
      <c r="V638" s="461">
        <v>0</v>
      </c>
    </row>
    <row r="639" spans="1:22" s="455" customFormat="1" hidden="1">
      <c r="A639" s="455" t="str">
        <f t="shared" si="18"/>
        <v>11609150801000</v>
      </c>
      <c r="B639" s="455">
        <f>VLOOKUP(LEFT($C$3:$C$2600,3),Table!$D$2:$E$88,2,FALSE)</f>
        <v>0</v>
      </c>
      <c r="C639" s="455" t="str">
        <f t="shared" si="19"/>
        <v>9150801000</v>
      </c>
      <c r="D639" s="455" t="e">
        <f>VLOOKUP(G639,Table!$G$3:$H$21,2,FALSE)</f>
        <v>#N/A</v>
      </c>
      <c r="E639" s="452" t="s">
        <v>902</v>
      </c>
      <c r="F639" s="452" t="s">
        <v>1259</v>
      </c>
      <c r="G639" s="452" t="s">
        <v>993</v>
      </c>
      <c r="H639" s="452" t="s">
        <v>994</v>
      </c>
      <c r="I639" s="453" t="s">
        <v>844</v>
      </c>
      <c r="J639" s="453">
        <v>14175</v>
      </c>
      <c r="K639" s="461">
        <v>4725</v>
      </c>
      <c r="L639" s="461">
        <v>4725</v>
      </c>
      <c r="M639" s="461">
        <v>4725</v>
      </c>
      <c r="N639" s="461">
        <v>0</v>
      </c>
      <c r="O639" s="461">
        <v>0</v>
      </c>
      <c r="P639" s="461">
        <v>0</v>
      </c>
      <c r="Q639" s="461">
        <v>0</v>
      </c>
      <c r="R639" s="461">
        <v>0</v>
      </c>
      <c r="S639" s="461">
        <v>0</v>
      </c>
      <c r="T639" s="461">
        <v>0</v>
      </c>
      <c r="U639" s="461">
        <v>0</v>
      </c>
      <c r="V639" s="461">
        <v>0</v>
      </c>
    </row>
    <row r="640" spans="1:22" s="455" customFormat="1" hidden="1">
      <c r="A640" s="455" t="str">
        <f t="shared" si="18"/>
        <v>11609150801400</v>
      </c>
      <c r="B640" s="455">
        <f>VLOOKUP(LEFT($C$3:$C$2600,3),Table!$D$2:$E$88,2,FALSE)</f>
        <v>0</v>
      </c>
      <c r="C640" s="455" t="str">
        <f t="shared" si="19"/>
        <v>9150801400</v>
      </c>
      <c r="D640" s="455" t="e">
        <f>VLOOKUP(G640,Table!$G$3:$H$21,2,FALSE)</f>
        <v>#N/A</v>
      </c>
      <c r="E640" s="452" t="s">
        <v>902</v>
      </c>
      <c r="F640" s="452" t="s">
        <v>1259</v>
      </c>
      <c r="G640" s="452" t="s">
        <v>997</v>
      </c>
      <c r="H640" s="452" t="s">
        <v>998</v>
      </c>
      <c r="I640" s="453" t="s">
        <v>844</v>
      </c>
      <c r="J640" s="453">
        <v>2127</v>
      </c>
      <c r="K640" s="461">
        <v>709</v>
      </c>
      <c r="L640" s="461">
        <v>709</v>
      </c>
      <c r="M640" s="461">
        <v>709</v>
      </c>
      <c r="N640" s="461">
        <v>0</v>
      </c>
      <c r="O640" s="461">
        <v>0</v>
      </c>
      <c r="P640" s="461">
        <v>0</v>
      </c>
      <c r="Q640" s="461">
        <v>0</v>
      </c>
      <c r="R640" s="461">
        <v>0</v>
      </c>
      <c r="S640" s="461">
        <v>0</v>
      </c>
      <c r="T640" s="461">
        <v>0</v>
      </c>
      <c r="U640" s="461">
        <v>0</v>
      </c>
      <c r="V640" s="461">
        <v>0</v>
      </c>
    </row>
    <row r="641" spans="1:22" s="455" customFormat="1" hidden="1">
      <c r="A641" s="455" t="str">
        <f t="shared" si="18"/>
        <v>11609150801500</v>
      </c>
      <c r="B641" s="455">
        <f>VLOOKUP(LEFT($C$3:$C$2600,3),Table!$D$2:$E$88,2,FALSE)</f>
        <v>0</v>
      </c>
      <c r="C641" s="455" t="str">
        <f t="shared" si="19"/>
        <v>9150801500</v>
      </c>
      <c r="D641" s="455" t="e">
        <f>VLOOKUP(G641,Table!$G$3:$H$21,2,FALSE)</f>
        <v>#N/A</v>
      </c>
      <c r="E641" s="452" t="s">
        <v>902</v>
      </c>
      <c r="F641" s="452" t="s">
        <v>1259</v>
      </c>
      <c r="G641" s="452" t="s">
        <v>999</v>
      </c>
      <c r="H641" s="452" t="s">
        <v>1000</v>
      </c>
      <c r="I641" s="453" t="s">
        <v>844</v>
      </c>
      <c r="J641" s="453">
        <v>154.94999999999999</v>
      </c>
      <c r="K641" s="461">
        <v>51.65</v>
      </c>
      <c r="L641" s="461">
        <v>51.65</v>
      </c>
      <c r="M641" s="461">
        <v>51.65</v>
      </c>
      <c r="N641" s="461">
        <v>0</v>
      </c>
      <c r="O641" s="461">
        <v>0</v>
      </c>
      <c r="P641" s="461">
        <v>0</v>
      </c>
      <c r="Q641" s="461">
        <v>0</v>
      </c>
      <c r="R641" s="461">
        <v>0</v>
      </c>
      <c r="S641" s="461">
        <v>0</v>
      </c>
      <c r="T641" s="461">
        <v>0</v>
      </c>
      <c r="U641" s="461">
        <v>0</v>
      </c>
      <c r="V641" s="461">
        <v>0</v>
      </c>
    </row>
    <row r="642" spans="1:22" s="455" customFormat="1" hidden="1">
      <c r="A642" s="455" t="str">
        <f t="shared" si="18"/>
        <v>11609150801600</v>
      </c>
      <c r="B642" s="455">
        <f>VLOOKUP(LEFT($C$3:$C$2600,3),Table!$D$2:$E$88,2,FALSE)</f>
        <v>0</v>
      </c>
      <c r="C642" s="455" t="str">
        <f t="shared" si="19"/>
        <v>9150801600</v>
      </c>
      <c r="D642" s="455" t="e">
        <f>VLOOKUP(G642,Table!$G$3:$H$21,2,FALSE)</f>
        <v>#N/A</v>
      </c>
      <c r="E642" s="452" t="s">
        <v>902</v>
      </c>
      <c r="F642" s="452" t="s">
        <v>1259</v>
      </c>
      <c r="G642" s="452" t="s">
        <v>1001</v>
      </c>
      <c r="H642" s="452" t="s">
        <v>1002</v>
      </c>
      <c r="I642" s="453" t="s">
        <v>844</v>
      </c>
      <c r="J642" s="453">
        <v>4650</v>
      </c>
      <c r="K642" s="461">
        <v>1550</v>
      </c>
      <c r="L642" s="461">
        <v>1550</v>
      </c>
      <c r="M642" s="461">
        <v>1550</v>
      </c>
      <c r="N642" s="461">
        <v>0</v>
      </c>
      <c r="O642" s="461">
        <v>0</v>
      </c>
      <c r="P642" s="461">
        <v>0</v>
      </c>
      <c r="Q642" s="461">
        <v>0</v>
      </c>
      <c r="R642" s="461">
        <v>0</v>
      </c>
      <c r="S642" s="461">
        <v>0</v>
      </c>
      <c r="T642" s="461">
        <v>0</v>
      </c>
      <c r="U642" s="461">
        <v>0</v>
      </c>
      <c r="V642" s="461">
        <v>0</v>
      </c>
    </row>
    <row r="643" spans="1:22" s="455" customFormat="1" hidden="1">
      <c r="A643" s="455" t="str">
        <f t="shared" si="18"/>
        <v>11609150801800</v>
      </c>
      <c r="B643" s="455">
        <f>VLOOKUP(LEFT($C$3:$C$2600,3),Table!$D$2:$E$88,2,FALSE)</f>
        <v>0</v>
      </c>
      <c r="C643" s="455" t="str">
        <f t="shared" si="19"/>
        <v>9150801800</v>
      </c>
      <c r="D643" s="455" t="e">
        <f>VLOOKUP(G643,Table!$G$3:$H$21,2,FALSE)</f>
        <v>#N/A</v>
      </c>
      <c r="E643" s="452" t="s">
        <v>902</v>
      </c>
      <c r="F643" s="452" t="s">
        <v>1259</v>
      </c>
      <c r="G643" s="452" t="s">
        <v>1004</v>
      </c>
      <c r="H643" s="452" t="s">
        <v>1005</v>
      </c>
      <c r="I643" s="453" t="s">
        <v>844</v>
      </c>
      <c r="J643" s="453">
        <v>90</v>
      </c>
      <c r="K643" s="461">
        <v>30</v>
      </c>
      <c r="L643" s="461">
        <v>30</v>
      </c>
      <c r="M643" s="461">
        <v>30</v>
      </c>
      <c r="N643" s="461">
        <v>0</v>
      </c>
      <c r="O643" s="461">
        <v>0</v>
      </c>
      <c r="P643" s="461">
        <v>0</v>
      </c>
      <c r="Q643" s="461">
        <v>0</v>
      </c>
      <c r="R643" s="461">
        <v>0</v>
      </c>
      <c r="S643" s="461">
        <v>0</v>
      </c>
      <c r="T643" s="461">
        <v>0</v>
      </c>
      <c r="U643" s="461">
        <v>0</v>
      </c>
      <c r="V643" s="461">
        <v>0</v>
      </c>
    </row>
    <row r="644" spans="1:22" s="455" customFormat="1" hidden="1">
      <c r="A644" s="455" t="str">
        <f t="shared" ref="A644:A707" si="20">F644&amp;G644</f>
        <v>11609150801900</v>
      </c>
      <c r="B644" s="455">
        <f>VLOOKUP(LEFT($C$3:$C$2600,3),Table!$D$2:$E$88,2,FALSE)</f>
        <v>0</v>
      </c>
      <c r="C644" s="455" t="str">
        <f t="shared" ref="C644:C707" si="21">IF(ISNA(D644),G644,D644)</f>
        <v>9150801900</v>
      </c>
      <c r="D644" s="455" t="e">
        <f>VLOOKUP(G644,Table!$G$3:$H$21,2,FALSE)</f>
        <v>#N/A</v>
      </c>
      <c r="E644" s="452" t="s">
        <v>902</v>
      </c>
      <c r="F644" s="452" t="s">
        <v>1259</v>
      </c>
      <c r="G644" s="452" t="s">
        <v>1006</v>
      </c>
      <c r="H644" s="452" t="s">
        <v>1007</v>
      </c>
      <c r="I644" s="453" t="s">
        <v>844</v>
      </c>
      <c r="J644" s="453">
        <v>141.75</v>
      </c>
      <c r="K644" s="461">
        <v>47.25</v>
      </c>
      <c r="L644" s="461">
        <v>47.25</v>
      </c>
      <c r="M644" s="461">
        <v>47.25</v>
      </c>
      <c r="N644" s="461">
        <v>0</v>
      </c>
      <c r="O644" s="461">
        <v>0</v>
      </c>
      <c r="P644" s="461">
        <v>0</v>
      </c>
      <c r="Q644" s="461">
        <v>0</v>
      </c>
      <c r="R644" s="461">
        <v>0</v>
      </c>
      <c r="S644" s="461">
        <v>0</v>
      </c>
      <c r="T644" s="461">
        <v>0</v>
      </c>
      <c r="U644" s="461">
        <v>0</v>
      </c>
      <c r="V644" s="461">
        <v>0</v>
      </c>
    </row>
    <row r="645" spans="1:22" s="455" customFormat="1" hidden="1">
      <c r="A645" s="455" t="str">
        <f t="shared" si="20"/>
        <v>11609151601000</v>
      </c>
      <c r="B645" s="455">
        <f>VLOOKUP(LEFT($C$3:$C$2600,3),Table!$D$2:$E$88,2,FALSE)</f>
        <v>0</v>
      </c>
      <c r="C645" s="455" t="str">
        <f t="shared" si="21"/>
        <v>9151601000</v>
      </c>
      <c r="D645" s="455" t="e">
        <f>VLOOKUP(G645,Table!$G$3:$H$21,2,FALSE)</f>
        <v>#N/A</v>
      </c>
      <c r="E645" s="452" t="s">
        <v>902</v>
      </c>
      <c r="F645" s="452" t="s">
        <v>1259</v>
      </c>
      <c r="G645" s="452" t="s">
        <v>1013</v>
      </c>
      <c r="H645" s="452" t="s">
        <v>1215</v>
      </c>
      <c r="I645" s="453" t="s">
        <v>844</v>
      </c>
      <c r="J645" s="453">
        <v>56</v>
      </c>
      <c r="K645" s="461">
        <v>56</v>
      </c>
      <c r="L645" s="461">
        <v>0</v>
      </c>
      <c r="M645" s="461">
        <v>0</v>
      </c>
      <c r="N645" s="461">
        <v>0</v>
      </c>
      <c r="O645" s="461">
        <v>0</v>
      </c>
      <c r="P645" s="461">
        <v>0</v>
      </c>
      <c r="Q645" s="461">
        <v>0</v>
      </c>
      <c r="R645" s="461">
        <v>0</v>
      </c>
      <c r="S645" s="461">
        <v>0</v>
      </c>
      <c r="T645" s="461">
        <v>0</v>
      </c>
      <c r="U645" s="461">
        <v>0</v>
      </c>
      <c r="V645" s="461">
        <v>0</v>
      </c>
    </row>
    <row r="646" spans="1:22" s="455" customFormat="1" hidden="1">
      <c r="A646" s="455" t="str">
        <f t="shared" si="20"/>
        <v>11609151601001</v>
      </c>
      <c r="B646" s="455">
        <f>VLOOKUP(LEFT($C$3:$C$2600,3),Table!$D$2:$E$88,2,FALSE)</f>
        <v>0</v>
      </c>
      <c r="C646" s="455" t="str">
        <f t="shared" si="21"/>
        <v>9151601001</v>
      </c>
      <c r="D646" s="455" t="e">
        <f>VLOOKUP(G646,Table!$G$3:$H$21,2,FALSE)</f>
        <v>#N/A</v>
      </c>
      <c r="E646" s="452" t="s">
        <v>902</v>
      </c>
      <c r="F646" s="452" t="s">
        <v>1259</v>
      </c>
      <c r="G646" s="452" t="s">
        <v>1015</v>
      </c>
      <c r="H646" s="452" t="s">
        <v>1016</v>
      </c>
      <c r="I646" s="453" t="s">
        <v>844</v>
      </c>
      <c r="J646" s="453">
        <v>52.5</v>
      </c>
      <c r="K646" s="461">
        <v>0</v>
      </c>
      <c r="L646" s="461">
        <v>0</v>
      </c>
      <c r="M646" s="461">
        <v>52.5</v>
      </c>
      <c r="N646" s="461">
        <v>0</v>
      </c>
      <c r="O646" s="461">
        <v>0</v>
      </c>
      <c r="P646" s="461">
        <v>0</v>
      </c>
      <c r="Q646" s="461">
        <v>0</v>
      </c>
      <c r="R646" s="461">
        <v>0</v>
      </c>
      <c r="S646" s="461">
        <v>0</v>
      </c>
      <c r="T646" s="461">
        <v>0</v>
      </c>
      <c r="U646" s="461">
        <v>0</v>
      </c>
      <c r="V646" s="461">
        <v>0</v>
      </c>
    </row>
    <row r="647" spans="1:22" s="455" customFormat="1" hidden="1">
      <c r="A647" s="455" t="str">
        <f t="shared" si="20"/>
        <v>11609152402511</v>
      </c>
      <c r="B647" s="455">
        <f>VLOOKUP(LEFT($C$3:$C$2600,3),Table!$D$2:$E$88,2,FALSE)</f>
        <v>0</v>
      </c>
      <c r="C647" s="455" t="str">
        <f t="shared" si="21"/>
        <v>9152402511</v>
      </c>
      <c r="D647" s="455" t="e">
        <f>VLOOKUP(G647,Table!$G$3:$H$21,2,FALSE)</f>
        <v>#N/A</v>
      </c>
      <c r="E647" s="452" t="s">
        <v>902</v>
      </c>
      <c r="F647" s="452" t="s">
        <v>1259</v>
      </c>
      <c r="G647" s="452" t="s">
        <v>1201</v>
      </c>
      <c r="H647" s="452" t="s">
        <v>1202</v>
      </c>
      <c r="I647" s="453" t="s">
        <v>844</v>
      </c>
      <c r="J647" s="453">
        <v>4800</v>
      </c>
      <c r="K647" s="461">
        <v>0</v>
      </c>
      <c r="L647" s="461">
        <v>0</v>
      </c>
      <c r="M647" s="461">
        <v>2400</v>
      </c>
      <c r="N647" s="461">
        <v>0</v>
      </c>
      <c r="O647" s="461">
        <v>0</v>
      </c>
      <c r="P647" s="461">
        <v>0</v>
      </c>
      <c r="Q647" s="461">
        <v>0</v>
      </c>
      <c r="R647" s="461">
        <v>0</v>
      </c>
      <c r="S647" s="461">
        <v>0</v>
      </c>
      <c r="T647" s="461">
        <v>0</v>
      </c>
      <c r="U647" s="461">
        <v>0</v>
      </c>
      <c r="V647" s="461">
        <v>0</v>
      </c>
    </row>
    <row r="648" spans="1:22" s="455" customFormat="1" hidden="1">
      <c r="A648" s="455" t="str">
        <f t="shared" si="20"/>
        <v>11609152402521</v>
      </c>
      <c r="B648" s="455">
        <f>VLOOKUP(LEFT($C$3:$C$2600,3),Table!$D$2:$E$88,2,FALSE)</f>
        <v>0</v>
      </c>
      <c r="C648" s="455" t="str">
        <f t="shared" si="21"/>
        <v>9152402521</v>
      </c>
      <c r="D648" s="455" t="e">
        <f>VLOOKUP(G648,Table!$G$3:$H$21,2,FALSE)</f>
        <v>#N/A</v>
      </c>
      <c r="E648" s="452" t="s">
        <v>902</v>
      </c>
      <c r="F648" s="452" t="s">
        <v>1259</v>
      </c>
      <c r="G648" s="452" t="s">
        <v>1262</v>
      </c>
      <c r="H648" s="452" t="s">
        <v>1263</v>
      </c>
      <c r="I648" s="453" t="s">
        <v>844</v>
      </c>
      <c r="J648" s="453">
        <v>6400</v>
      </c>
      <c r="K648" s="461">
        <v>2300</v>
      </c>
      <c r="L648" s="461">
        <v>2300</v>
      </c>
      <c r="M648" s="461">
        <v>-600</v>
      </c>
      <c r="N648" s="461">
        <v>0</v>
      </c>
      <c r="O648" s="461">
        <v>0</v>
      </c>
      <c r="P648" s="461">
        <v>0</v>
      </c>
      <c r="Q648" s="461">
        <v>0</v>
      </c>
      <c r="R648" s="461">
        <v>0</v>
      </c>
      <c r="S648" s="461">
        <v>0</v>
      </c>
      <c r="T648" s="461">
        <v>0</v>
      </c>
      <c r="U648" s="461">
        <v>0</v>
      </c>
      <c r="V648" s="461">
        <v>0</v>
      </c>
    </row>
    <row r="649" spans="1:22" s="455" customFormat="1" hidden="1">
      <c r="A649" s="455" t="str">
        <f t="shared" si="20"/>
        <v>11619101001000</v>
      </c>
      <c r="B649" s="455">
        <f>VLOOKUP(LEFT($C$3:$C$2600,3),Table!$D$2:$E$88,2,FALSE)</f>
        <v>0</v>
      </c>
      <c r="C649" s="455" t="str">
        <f t="shared" si="21"/>
        <v>9101001000</v>
      </c>
      <c r="D649" s="455" t="e">
        <f>VLOOKUP(G649,Table!$G$3:$H$21,2,FALSE)</f>
        <v>#N/A</v>
      </c>
      <c r="E649" s="452" t="s">
        <v>902</v>
      </c>
      <c r="F649" s="452" t="s">
        <v>1264</v>
      </c>
      <c r="G649" s="452" t="s">
        <v>1046</v>
      </c>
      <c r="H649" s="452" t="s">
        <v>1047</v>
      </c>
      <c r="I649" s="453" t="s">
        <v>844</v>
      </c>
      <c r="J649" s="453">
        <v>24231.5</v>
      </c>
      <c r="K649" s="461">
        <v>6430.3</v>
      </c>
      <c r="L649" s="461">
        <v>8900.6</v>
      </c>
      <c r="M649" s="461">
        <v>8900.6</v>
      </c>
      <c r="N649" s="461">
        <v>0</v>
      </c>
      <c r="O649" s="461">
        <v>0</v>
      </c>
      <c r="P649" s="461">
        <v>0</v>
      </c>
      <c r="Q649" s="461">
        <v>0</v>
      </c>
      <c r="R649" s="461">
        <v>0</v>
      </c>
      <c r="S649" s="461">
        <v>0</v>
      </c>
      <c r="T649" s="461">
        <v>0</v>
      </c>
      <c r="U649" s="461">
        <v>0</v>
      </c>
      <c r="V649" s="461">
        <v>0</v>
      </c>
    </row>
    <row r="650" spans="1:22" s="455" customFormat="1" hidden="1">
      <c r="A650" s="455" t="str">
        <f t="shared" si="20"/>
        <v>11619101001100</v>
      </c>
      <c r="B650" s="455">
        <f>VLOOKUP(LEFT($C$3:$C$2600,3),Table!$D$2:$E$88,2,FALSE)</f>
        <v>0</v>
      </c>
      <c r="C650" s="455" t="str">
        <f t="shared" si="21"/>
        <v>9101001100</v>
      </c>
      <c r="D650" s="455" t="e">
        <f>VLOOKUP(G650,Table!$G$3:$H$21,2,FALSE)</f>
        <v>#N/A</v>
      </c>
      <c r="E650" s="452" t="s">
        <v>902</v>
      </c>
      <c r="F650" s="452" t="s">
        <v>1264</v>
      </c>
      <c r="G650" s="452" t="s">
        <v>1048</v>
      </c>
      <c r="H650" s="452" t="s">
        <v>1049</v>
      </c>
      <c r="I650" s="453" t="s">
        <v>844</v>
      </c>
      <c r="J650" s="453">
        <v>5491.92</v>
      </c>
      <c r="K650" s="461">
        <v>3278.74</v>
      </c>
      <c r="L650" s="461">
        <v>727.74</v>
      </c>
      <c r="M650" s="461">
        <v>1748.09</v>
      </c>
      <c r="N650" s="461">
        <v>0</v>
      </c>
      <c r="O650" s="461">
        <v>0</v>
      </c>
      <c r="P650" s="461">
        <v>0</v>
      </c>
      <c r="Q650" s="461">
        <v>0</v>
      </c>
      <c r="R650" s="461">
        <v>0</v>
      </c>
      <c r="S650" s="461">
        <v>0</v>
      </c>
      <c r="T650" s="461">
        <v>0</v>
      </c>
      <c r="U650" s="461">
        <v>0</v>
      </c>
      <c r="V650" s="461">
        <v>0</v>
      </c>
    </row>
    <row r="651" spans="1:22" s="455" customFormat="1" hidden="1">
      <c r="A651" s="455" t="str">
        <f t="shared" si="20"/>
        <v>11619101001200</v>
      </c>
      <c r="B651" s="455">
        <f>VLOOKUP(LEFT($C$3:$C$2600,3),Table!$D$2:$E$88,2,FALSE)</f>
        <v>0</v>
      </c>
      <c r="C651" s="455" t="str">
        <f t="shared" si="21"/>
        <v>9101001200</v>
      </c>
      <c r="D651" s="455" t="e">
        <f>VLOOKUP(G651,Table!$G$3:$H$21,2,FALSE)</f>
        <v>#N/A</v>
      </c>
      <c r="E651" s="452" t="s">
        <v>902</v>
      </c>
      <c r="F651" s="452" t="s">
        <v>1264</v>
      </c>
      <c r="G651" s="452" t="s">
        <v>1050</v>
      </c>
      <c r="H651" s="452" t="s">
        <v>1051</v>
      </c>
      <c r="I651" s="453" t="s">
        <v>844</v>
      </c>
      <c r="J651" s="453">
        <v>1982.82</v>
      </c>
      <c r="K651" s="461">
        <v>493.55</v>
      </c>
      <c r="L651" s="461">
        <v>764.66</v>
      </c>
      <c r="M651" s="461">
        <v>724.61</v>
      </c>
      <c r="N651" s="461">
        <v>0</v>
      </c>
      <c r="O651" s="461">
        <v>0</v>
      </c>
      <c r="P651" s="461">
        <v>0</v>
      </c>
      <c r="Q651" s="461">
        <v>0</v>
      </c>
      <c r="R651" s="461">
        <v>0</v>
      </c>
      <c r="S651" s="461">
        <v>0</v>
      </c>
      <c r="T651" s="461">
        <v>0</v>
      </c>
      <c r="U651" s="461">
        <v>0</v>
      </c>
      <c r="V651" s="461">
        <v>0</v>
      </c>
    </row>
    <row r="652" spans="1:22" s="455" customFormat="1" hidden="1">
      <c r="A652" s="455" t="str">
        <f t="shared" si="20"/>
        <v>11619101001400</v>
      </c>
      <c r="B652" s="455">
        <f>VLOOKUP(LEFT($C$3:$C$2600,3),Table!$D$2:$E$88,2,FALSE)</f>
        <v>0</v>
      </c>
      <c r="C652" s="455" t="str">
        <f t="shared" si="21"/>
        <v>9101001400</v>
      </c>
      <c r="D652" s="455" t="e">
        <f>VLOOKUP(G652,Table!$G$3:$H$21,2,FALSE)</f>
        <v>#N/A</v>
      </c>
      <c r="E652" s="452" t="s">
        <v>902</v>
      </c>
      <c r="F652" s="452" t="s">
        <v>1264</v>
      </c>
      <c r="G652" s="452" t="s">
        <v>1054</v>
      </c>
      <c r="H652" s="452" t="s">
        <v>1055</v>
      </c>
      <c r="I652" s="453" t="s">
        <v>844</v>
      </c>
      <c r="J652" s="453">
        <v>3299</v>
      </c>
      <c r="K652" s="461">
        <v>826</v>
      </c>
      <c r="L652" s="461">
        <v>1238</v>
      </c>
      <c r="M652" s="461">
        <v>1235</v>
      </c>
      <c r="N652" s="461">
        <v>0</v>
      </c>
      <c r="O652" s="461">
        <v>0</v>
      </c>
      <c r="P652" s="461">
        <v>0</v>
      </c>
      <c r="Q652" s="461">
        <v>0</v>
      </c>
      <c r="R652" s="461">
        <v>0</v>
      </c>
      <c r="S652" s="461">
        <v>0</v>
      </c>
      <c r="T652" s="461">
        <v>0</v>
      </c>
      <c r="U652" s="461">
        <v>0</v>
      </c>
      <c r="V652" s="461">
        <v>0</v>
      </c>
    </row>
    <row r="653" spans="1:22" s="455" customFormat="1" hidden="1">
      <c r="A653" s="455" t="str">
        <f t="shared" si="20"/>
        <v>11619101001410</v>
      </c>
      <c r="B653" s="455">
        <f>VLOOKUP(LEFT($C$3:$C$2600,3),Table!$D$2:$E$88,2,FALSE)</f>
        <v>0</v>
      </c>
      <c r="C653" s="455" t="str">
        <f t="shared" si="21"/>
        <v>9101001410</v>
      </c>
      <c r="D653" s="455" t="e">
        <f>VLOOKUP(G653,Table!$G$3:$H$21,2,FALSE)</f>
        <v>#N/A</v>
      </c>
      <c r="E653" s="452" t="s">
        <v>902</v>
      </c>
      <c r="F653" s="452" t="s">
        <v>1264</v>
      </c>
      <c r="G653" s="452" t="s">
        <v>1056</v>
      </c>
      <c r="H653" s="452" t="s">
        <v>1057</v>
      </c>
      <c r="I653" s="453" t="s">
        <v>844</v>
      </c>
      <c r="J653" s="453">
        <v>105</v>
      </c>
      <c r="K653" s="461">
        <v>30</v>
      </c>
      <c r="L653" s="461">
        <v>45</v>
      </c>
      <c r="M653" s="461">
        <v>30</v>
      </c>
      <c r="N653" s="461">
        <v>0</v>
      </c>
      <c r="O653" s="461">
        <v>0</v>
      </c>
      <c r="P653" s="461">
        <v>0</v>
      </c>
      <c r="Q653" s="461">
        <v>0</v>
      </c>
      <c r="R653" s="461">
        <v>0</v>
      </c>
      <c r="S653" s="461">
        <v>0</v>
      </c>
      <c r="T653" s="461">
        <v>0</v>
      </c>
      <c r="U653" s="461">
        <v>0</v>
      </c>
      <c r="V653" s="461">
        <v>0</v>
      </c>
    </row>
    <row r="654" spans="1:22" s="455" customFormat="1" hidden="1">
      <c r="A654" s="455" t="str">
        <f t="shared" si="20"/>
        <v>11619101001500</v>
      </c>
      <c r="B654" s="455">
        <f>VLOOKUP(LEFT($C$3:$C$2600,3),Table!$D$2:$E$88,2,FALSE)</f>
        <v>0</v>
      </c>
      <c r="C654" s="455" t="str">
        <f t="shared" si="21"/>
        <v>9101001500</v>
      </c>
      <c r="D654" s="455" t="e">
        <f>VLOOKUP(G654,Table!$G$3:$H$21,2,FALSE)</f>
        <v>#N/A</v>
      </c>
      <c r="E654" s="452" t="s">
        <v>902</v>
      </c>
      <c r="F654" s="452" t="s">
        <v>1264</v>
      </c>
      <c r="G654" s="452" t="s">
        <v>1058</v>
      </c>
      <c r="H654" s="452" t="s">
        <v>1059</v>
      </c>
      <c r="I654" s="453" t="s">
        <v>844</v>
      </c>
      <c r="J654" s="453">
        <v>453</v>
      </c>
      <c r="K654" s="461">
        <v>125.9</v>
      </c>
      <c r="L654" s="461">
        <v>167.05</v>
      </c>
      <c r="M654" s="461">
        <v>160.05000000000001</v>
      </c>
      <c r="N654" s="461">
        <v>0</v>
      </c>
      <c r="O654" s="461">
        <v>0</v>
      </c>
      <c r="P654" s="461">
        <v>0</v>
      </c>
      <c r="Q654" s="461">
        <v>0</v>
      </c>
      <c r="R654" s="461">
        <v>0</v>
      </c>
      <c r="S654" s="461">
        <v>0</v>
      </c>
      <c r="T654" s="461">
        <v>0</v>
      </c>
      <c r="U654" s="461">
        <v>0</v>
      </c>
      <c r="V654" s="461">
        <v>0</v>
      </c>
    </row>
    <row r="655" spans="1:22" s="455" customFormat="1" hidden="1">
      <c r="A655" s="455" t="str">
        <f t="shared" si="20"/>
        <v>11619101001600</v>
      </c>
      <c r="B655" s="455">
        <f>VLOOKUP(LEFT($C$3:$C$2600,3),Table!$D$2:$E$88,2,FALSE)</f>
        <v>0</v>
      </c>
      <c r="C655" s="455" t="str">
        <f t="shared" si="21"/>
        <v>9101001600</v>
      </c>
      <c r="D655" s="455" t="e">
        <f>VLOOKUP(G655,Table!$G$3:$H$21,2,FALSE)</f>
        <v>#N/A</v>
      </c>
      <c r="E655" s="452" t="s">
        <v>902</v>
      </c>
      <c r="F655" s="452" t="s">
        <v>1264</v>
      </c>
      <c r="G655" s="452" t="s">
        <v>1060</v>
      </c>
      <c r="H655" s="452" t="s">
        <v>1061</v>
      </c>
      <c r="I655" s="453" t="s">
        <v>844</v>
      </c>
      <c r="J655" s="453">
        <v>5528.71</v>
      </c>
      <c r="K655" s="461">
        <v>1467.15</v>
      </c>
      <c r="L655" s="461">
        <v>2030.78</v>
      </c>
      <c r="M655" s="461">
        <v>2030.78</v>
      </c>
      <c r="N655" s="461">
        <v>0</v>
      </c>
      <c r="O655" s="461">
        <v>0</v>
      </c>
      <c r="P655" s="461">
        <v>0</v>
      </c>
      <c r="Q655" s="461">
        <v>0</v>
      </c>
      <c r="R655" s="461">
        <v>0</v>
      </c>
      <c r="S655" s="461">
        <v>0</v>
      </c>
      <c r="T655" s="461">
        <v>0</v>
      </c>
      <c r="U655" s="461">
        <v>0</v>
      </c>
      <c r="V655" s="461">
        <v>0</v>
      </c>
    </row>
    <row r="656" spans="1:22" s="455" customFormat="1" hidden="1">
      <c r="A656" s="455" t="str">
        <f t="shared" si="20"/>
        <v>11619101001700</v>
      </c>
      <c r="B656" s="455">
        <f>VLOOKUP(LEFT($C$3:$C$2600,3),Table!$D$2:$E$88,2,FALSE)</f>
        <v>0</v>
      </c>
      <c r="C656" s="455" t="str">
        <f t="shared" si="21"/>
        <v>9101001700</v>
      </c>
      <c r="D656" s="455" t="e">
        <f>VLOOKUP(G656,Table!$G$3:$H$21,2,FALSE)</f>
        <v>#N/A</v>
      </c>
      <c r="E656" s="452" t="s">
        <v>902</v>
      </c>
      <c r="F656" s="452" t="s">
        <v>1264</v>
      </c>
      <c r="G656" s="452" t="s">
        <v>1062</v>
      </c>
      <c r="H656" s="452" t="s">
        <v>1063</v>
      </c>
      <c r="I656" s="453" t="s">
        <v>844</v>
      </c>
      <c r="J656" s="453">
        <v>-5007.95</v>
      </c>
      <c r="K656" s="461">
        <v>135.97</v>
      </c>
      <c r="L656" s="461">
        <v>219.98</v>
      </c>
      <c r="M656" s="461">
        <v>3250.51</v>
      </c>
      <c r="N656" s="461">
        <v>0</v>
      </c>
      <c r="O656" s="461">
        <v>0</v>
      </c>
      <c r="P656" s="461">
        <v>0</v>
      </c>
      <c r="Q656" s="461">
        <v>0</v>
      </c>
      <c r="R656" s="461">
        <v>0</v>
      </c>
      <c r="S656" s="461">
        <v>0</v>
      </c>
      <c r="T656" s="461">
        <v>0</v>
      </c>
      <c r="U656" s="461">
        <v>0</v>
      </c>
      <c r="V656" s="461">
        <v>0</v>
      </c>
    </row>
    <row r="657" spans="1:22" s="455" customFormat="1" hidden="1">
      <c r="A657" s="455" t="str">
        <f t="shared" si="20"/>
        <v>11619101001800</v>
      </c>
      <c r="B657" s="455">
        <f>VLOOKUP(LEFT($C$3:$C$2600,3),Table!$D$2:$E$88,2,FALSE)</f>
        <v>0</v>
      </c>
      <c r="C657" s="455" t="str">
        <f t="shared" si="21"/>
        <v>9101001800</v>
      </c>
      <c r="D657" s="455" t="e">
        <f>VLOOKUP(G657,Table!$G$3:$H$21,2,FALSE)</f>
        <v>#N/A</v>
      </c>
      <c r="E657" s="452" t="s">
        <v>902</v>
      </c>
      <c r="F657" s="452" t="s">
        <v>1264</v>
      </c>
      <c r="G657" s="452" t="s">
        <v>1064</v>
      </c>
      <c r="H657" s="452" t="s">
        <v>1065</v>
      </c>
      <c r="I657" s="453" t="s">
        <v>844</v>
      </c>
      <c r="J657" s="453">
        <v>1143.2</v>
      </c>
      <c r="K657" s="461">
        <v>400.9</v>
      </c>
      <c r="L657" s="461">
        <v>385</v>
      </c>
      <c r="M657" s="461">
        <v>357.3</v>
      </c>
      <c r="N657" s="461">
        <v>0</v>
      </c>
      <c r="O657" s="461">
        <v>0</v>
      </c>
      <c r="P657" s="461">
        <v>0</v>
      </c>
      <c r="Q657" s="461">
        <v>0</v>
      </c>
      <c r="R657" s="461">
        <v>0</v>
      </c>
      <c r="S657" s="461">
        <v>0</v>
      </c>
      <c r="T657" s="461">
        <v>0</v>
      </c>
      <c r="U657" s="461">
        <v>0</v>
      </c>
      <c r="V657" s="461">
        <v>0</v>
      </c>
    </row>
    <row r="658" spans="1:22" s="455" customFormat="1" hidden="1">
      <c r="A658" s="455" t="str">
        <f t="shared" si="20"/>
        <v>11619101001900</v>
      </c>
      <c r="B658" s="455">
        <f>VLOOKUP(LEFT($C$3:$C$2600,3),Table!$D$2:$E$88,2,FALSE)</f>
        <v>0</v>
      </c>
      <c r="C658" s="455" t="str">
        <f t="shared" si="21"/>
        <v>9101001900</v>
      </c>
      <c r="D658" s="455" t="e">
        <f>VLOOKUP(G658,Table!$G$3:$H$21,2,FALSE)</f>
        <v>#N/A</v>
      </c>
      <c r="E658" s="452" t="s">
        <v>902</v>
      </c>
      <c r="F658" s="452" t="s">
        <v>1264</v>
      </c>
      <c r="G658" s="452" t="s">
        <v>1066</v>
      </c>
      <c r="H658" s="452" t="s">
        <v>1007</v>
      </c>
      <c r="I658" s="453" t="s">
        <v>844</v>
      </c>
      <c r="J658" s="453">
        <v>263.35000000000002</v>
      </c>
      <c r="K658" s="461">
        <v>69.59</v>
      </c>
      <c r="L658" s="461">
        <v>97</v>
      </c>
      <c r="M658" s="461">
        <v>96.76</v>
      </c>
      <c r="N658" s="461">
        <v>0</v>
      </c>
      <c r="O658" s="461">
        <v>0</v>
      </c>
      <c r="P658" s="461">
        <v>0</v>
      </c>
      <c r="Q658" s="461">
        <v>0</v>
      </c>
      <c r="R658" s="461">
        <v>0</v>
      </c>
      <c r="S658" s="461">
        <v>0</v>
      </c>
      <c r="T658" s="461">
        <v>0</v>
      </c>
      <c r="U658" s="461">
        <v>0</v>
      </c>
      <c r="V658" s="461">
        <v>0</v>
      </c>
    </row>
    <row r="659" spans="1:22" s="455" customFormat="1" hidden="1">
      <c r="A659" s="455" t="str">
        <f t="shared" si="20"/>
        <v>11619101101000</v>
      </c>
      <c r="B659" s="455">
        <f>VLOOKUP(LEFT($C$3:$C$2600,3),Table!$D$2:$E$88,2,FALSE)</f>
        <v>0</v>
      </c>
      <c r="C659" s="455" t="str">
        <f t="shared" si="21"/>
        <v>9101101000</v>
      </c>
      <c r="D659" s="455" t="e">
        <f>VLOOKUP(G659,Table!$G$3:$H$21,2,FALSE)</f>
        <v>#N/A</v>
      </c>
      <c r="E659" s="452" t="s">
        <v>902</v>
      </c>
      <c r="F659" s="452" t="s">
        <v>1264</v>
      </c>
      <c r="G659" s="452" t="s">
        <v>1067</v>
      </c>
      <c r="H659" s="452" t="s">
        <v>1068</v>
      </c>
      <c r="I659" s="453" t="s">
        <v>844</v>
      </c>
      <c r="J659" s="453">
        <v>26611.759999999998</v>
      </c>
      <c r="K659" s="461">
        <v>9278.06</v>
      </c>
      <c r="L659" s="461">
        <v>9418.61</v>
      </c>
      <c r="M659" s="461">
        <v>9404.66</v>
      </c>
      <c r="N659" s="461">
        <v>0</v>
      </c>
      <c r="O659" s="461">
        <v>0</v>
      </c>
      <c r="P659" s="461">
        <v>0</v>
      </c>
      <c r="Q659" s="461">
        <v>0</v>
      </c>
      <c r="R659" s="461">
        <v>0</v>
      </c>
      <c r="S659" s="461">
        <v>0</v>
      </c>
      <c r="T659" s="461">
        <v>0</v>
      </c>
      <c r="U659" s="461">
        <v>0</v>
      </c>
      <c r="V659" s="461">
        <v>0</v>
      </c>
    </row>
    <row r="660" spans="1:22" s="455" customFormat="1" hidden="1">
      <c r="A660" s="455" t="str">
        <f t="shared" si="20"/>
        <v>11619101101100</v>
      </c>
      <c r="B660" s="455">
        <f>VLOOKUP(LEFT($C$3:$C$2600,3),Table!$D$2:$E$88,2,FALSE)</f>
        <v>0</v>
      </c>
      <c r="C660" s="455" t="str">
        <f t="shared" si="21"/>
        <v>9101101100</v>
      </c>
      <c r="D660" s="455" t="e">
        <f>VLOOKUP(G660,Table!$G$3:$H$21,2,FALSE)</f>
        <v>#N/A</v>
      </c>
      <c r="E660" s="452" t="s">
        <v>902</v>
      </c>
      <c r="F660" s="452" t="s">
        <v>1264</v>
      </c>
      <c r="G660" s="452" t="s">
        <v>1069</v>
      </c>
      <c r="H660" s="452" t="s">
        <v>1070</v>
      </c>
      <c r="I660" s="453" t="s">
        <v>844</v>
      </c>
      <c r="J660" s="453">
        <v>11777.86</v>
      </c>
      <c r="K660" s="461">
        <v>5146.24</v>
      </c>
      <c r="L660" s="461">
        <v>4001.58</v>
      </c>
      <c r="M660" s="461">
        <v>3353.55</v>
      </c>
      <c r="N660" s="461">
        <v>0</v>
      </c>
      <c r="O660" s="461">
        <v>0</v>
      </c>
      <c r="P660" s="461">
        <v>0</v>
      </c>
      <c r="Q660" s="461">
        <v>0</v>
      </c>
      <c r="R660" s="461">
        <v>0</v>
      </c>
      <c r="S660" s="461">
        <v>0</v>
      </c>
      <c r="T660" s="461">
        <v>0</v>
      </c>
      <c r="U660" s="461">
        <v>0</v>
      </c>
      <c r="V660" s="461">
        <v>0</v>
      </c>
    </row>
    <row r="661" spans="1:22" s="455" customFormat="1" hidden="1">
      <c r="A661" s="455" t="str">
        <f t="shared" si="20"/>
        <v>11619101101200</v>
      </c>
      <c r="B661" s="455">
        <f>VLOOKUP(LEFT($C$3:$C$2600,3),Table!$D$2:$E$88,2,FALSE)</f>
        <v>0</v>
      </c>
      <c r="C661" s="455" t="str">
        <f t="shared" si="21"/>
        <v>9101101200</v>
      </c>
      <c r="D661" s="455" t="e">
        <f>VLOOKUP(G661,Table!$G$3:$H$21,2,FALSE)</f>
        <v>#N/A</v>
      </c>
      <c r="E661" s="452" t="s">
        <v>902</v>
      </c>
      <c r="F661" s="452" t="s">
        <v>1264</v>
      </c>
      <c r="G661" s="452" t="s">
        <v>1071</v>
      </c>
      <c r="H661" s="452" t="s">
        <v>1072</v>
      </c>
      <c r="I661" s="453" t="s">
        <v>844</v>
      </c>
      <c r="J661" s="453">
        <v>3363.93</v>
      </c>
      <c r="K661" s="461">
        <v>1131.8</v>
      </c>
      <c r="L661" s="461">
        <v>1127.3699999999999</v>
      </c>
      <c r="M661" s="461">
        <v>1104.76</v>
      </c>
      <c r="N661" s="461">
        <v>0</v>
      </c>
      <c r="O661" s="461">
        <v>0</v>
      </c>
      <c r="P661" s="461">
        <v>0</v>
      </c>
      <c r="Q661" s="461">
        <v>0</v>
      </c>
      <c r="R661" s="461">
        <v>0</v>
      </c>
      <c r="S661" s="461">
        <v>0</v>
      </c>
      <c r="T661" s="461">
        <v>0</v>
      </c>
      <c r="U661" s="461">
        <v>0</v>
      </c>
      <c r="V661" s="461">
        <v>0</v>
      </c>
    </row>
    <row r="662" spans="1:22" s="455" customFormat="1" hidden="1">
      <c r="A662" s="455" t="str">
        <f t="shared" si="20"/>
        <v>11619101101400</v>
      </c>
      <c r="B662" s="455">
        <f>VLOOKUP(LEFT($C$3:$C$2600,3),Table!$D$2:$E$88,2,FALSE)</f>
        <v>0</v>
      </c>
      <c r="C662" s="455" t="str">
        <f t="shared" si="21"/>
        <v>9101101400</v>
      </c>
      <c r="D662" s="455" t="e">
        <f>VLOOKUP(G662,Table!$G$3:$H$21,2,FALSE)</f>
        <v>#N/A</v>
      </c>
      <c r="E662" s="452" t="s">
        <v>902</v>
      </c>
      <c r="F662" s="452" t="s">
        <v>1264</v>
      </c>
      <c r="G662" s="452" t="s">
        <v>1075</v>
      </c>
      <c r="H662" s="452" t="s">
        <v>1076</v>
      </c>
      <c r="I662" s="453" t="s">
        <v>844</v>
      </c>
      <c r="J662" s="453">
        <v>4001</v>
      </c>
      <c r="K662" s="461">
        <v>1329</v>
      </c>
      <c r="L662" s="461">
        <v>1313</v>
      </c>
      <c r="M662" s="461">
        <v>1359</v>
      </c>
      <c r="N662" s="461">
        <v>0</v>
      </c>
      <c r="O662" s="461">
        <v>0</v>
      </c>
      <c r="P662" s="461">
        <v>0</v>
      </c>
      <c r="Q662" s="461">
        <v>0</v>
      </c>
      <c r="R662" s="461">
        <v>0</v>
      </c>
      <c r="S662" s="461">
        <v>0</v>
      </c>
      <c r="T662" s="461">
        <v>0</v>
      </c>
      <c r="U662" s="461">
        <v>0</v>
      </c>
      <c r="V662" s="461">
        <v>0</v>
      </c>
    </row>
    <row r="663" spans="1:22" s="455" customFormat="1" hidden="1">
      <c r="A663" s="455" t="str">
        <f t="shared" si="20"/>
        <v>11619101101410</v>
      </c>
      <c r="B663" s="455">
        <f>VLOOKUP(LEFT($C$3:$C$2600,3),Table!$D$2:$E$88,2,FALSE)</f>
        <v>0</v>
      </c>
      <c r="C663" s="455" t="str">
        <f t="shared" si="21"/>
        <v>9101101410</v>
      </c>
      <c r="D663" s="455" t="e">
        <f>VLOOKUP(G663,Table!$G$3:$H$21,2,FALSE)</f>
        <v>#N/A</v>
      </c>
      <c r="E663" s="452" t="s">
        <v>902</v>
      </c>
      <c r="F663" s="452" t="s">
        <v>1264</v>
      </c>
      <c r="G663" s="452" t="s">
        <v>1077</v>
      </c>
      <c r="H663" s="452" t="s">
        <v>1078</v>
      </c>
      <c r="I663" s="453" t="s">
        <v>844</v>
      </c>
      <c r="J663" s="453">
        <v>90</v>
      </c>
      <c r="K663" s="461">
        <v>30</v>
      </c>
      <c r="L663" s="461">
        <v>30</v>
      </c>
      <c r="M663" s="461">
        <v>30</v>
      </c>
      <c r="N663" s="461">
        <v>0</v>
      </c>
      <c r="O663" s="461">
        <v>0</v>
      </c>
      <c r="P663" s="461">
        <v>0</v>
      </c>
      <c r="Q663" s="461">
        <v>0</v>
      </c>
      <c r="R663" s="461">
        <v>0</v>
      </c>
      <c r="S663" s="461">
        <v>0</v>
      </c>
      <c r="T663" s="461">
        <v>0</v>
      </c>
      <c r="U663" s="461">
        <v>0</v>
      </c>
      <c r="V663" s="461">
        <v>0</v>
      </c>
    </row>
    <row r="664" spans="1:22" s="455" customFormat="1" hidden="1">
      <c r="A664" s="455" t="str">
        <f t="shared" si="20"/>
        <v>11619101101500</v>
      </c>
      <c r="B664" s="455">
        <f>VLOOKUP(LEFT($C$3:$C$2600,3),Table!$D$2:$E$88,2,FALSE)</f>
        <v>0</v>
      </c>
      <c r="C664" s="455" t="str">
        <f t="shared" si="21"/>
        <v>9101101500</v>
      </c>
      <c r="D664" s="455" t="e">
        <f>VLOOKUP(G664,Table!$G$3:$H$21,2,FALSE)</f>
        <v>#N/A</v>
      </c>
      <c r="E664" s="452" t="s">
        <v>902</v>
      </c>
      <c r="F664" s="452" t="s">
        <v>1264</v>
      </c>
      <c r="G664" s="452" t="s">
        <v>1079</v>
      </c>
      <c r="H664" s="452" t="s">
        <v>1080</v>
      </c>
      <c r="I664" s="453" t="s">
        <v>844</v>
      </c>
      <c r="J664" s="453">
        <v>619.70000000000005</v>
      </c>
      <c r="K664" s="461">
        <v>210.1</v>
      </c>
      <c r="L664" s="461">
        <v>206.6</v>
      </c>
      <c r="M664" s="461">
        <v>203</v>
      </c>
      <c r="N664" s="461">
        <v>0</v>
      </c>
      <c r="O664" s="461">
        <v>0</v>
      </c>
      <c r="P664" s="461">
        <v>0</v>
      </c>
      <c r="Q664" s="461">
        <v>0</v>
      </c>
      <c r="R664" s="461">
        <v>0</v>
      </c>
      <c r="S664" s="461">
        <v>0</v>
      </c>
      <c r="T664" s="461">
        <v>0</v>
      </c>
      <c r="U664" s="461">
        <v>0</v>
      </c>
      <c r="V664" s="461">
        <v>0</v>
      </c>
    </row>
    <row r="665" spans="1:22" s="455" customFormat="1" hidden="1">
      <c r="A665" s="455" t="str">
        <f t="shared" si="20"/>
        <v>11619101101600</v>
      </c>
      <c r="B665" s="455">
        <f>VLOOKUP(LEFT($C$3:$C$2600,3),Table!$D$2:$E$88,2,FALSE)</f>
        <v>0</v>
      </c>
      <c r="C665" s="455" t="str">
        <f t="shared" si="21"/>
        <v>9101101600</v>
      </c>
      <c r="D665" s="455" t="e">
        <f>VLOOKUP(G665,Table!$G$3:$H$21,2,FALSE)</f>
        <v>#N/A</v>
      </c>
      <c r="E665" s="452" t="s">
        <v>902</v>
      </c>
      <c r="F665" s="452" t="s">
        <v>1264</v>
      </c>
      <c r="G665" s="452" t="s">
        <v>1081</v>
      </c>
      <c r="H665" s="452" t="s">
        <v>1082</v>
      </c>
      <c r="I665" s="453" t="s">
        <v>844</v>
      </c>
      <c r="J665" s="453">
        <v>6647.13</v>
      </c>
      <c r="K665" s="461">
        <v>2215.71</v>
      </c>
      <c r="L665" s="461">
        <v>2215.71</v>
      </c>
      <c r="M665" s="461">
        <v>2215.71</v>
      </c>
      <c r="N665" s="461">
        <v>0</v>
      </c>
      <c r="O665" s="461">
        <v>0</v>
      </c>
      <c r="P665" s="461">
        <v>0</v>
      </c>
      <c r="Q665" s="461">
        <v>0</v>
      </c>
      <c r="R665" s="461">
        <v>0</v>
      </c>
      <c r="S665" s="461">
        <v>0</v>
      </c>
      <c r="T665" s="461">
        <v>0</v>
      </c>
      <c r="U665" s="461">
        <v>0</v>
      </c>
      <c r="V665" s="461">
        <v>0</v>
      </c>
    </row>
    <row r="666" spans="1:22" s="455" customFormat="1" hidden="1">
      <c r="A666" s="455" t="str">
        <f t="shared" si="20"/>
        <v>11619101101700</v>
      </c>
      <c r="B666" s="455">
        <f>VLOOKUP(LEFT($C$3:$C$2600,3),Table!$D$2:$E$88,2,FALSE)</f>
        <v>0</v>
      </c>
      <c r="C666" s="455" t="str">
        <f t="shared" si="21"/>
        <v>9101101700</v>
      </c>
      <c r="D666" s="455" t="e">
        <f>VLOOKUP(G666,Table!$G$3:$H$21,2,FALSE)</f>
        <v>#N/A</v>
      </c>
      <c r="E666" s="452" t="s">
        <v>902</v>
      </c>
      <c r="F666" s="452" t="s">
        <v>1264</v>
      </c>
      <c r="G666" s="452" t="s">
        <v>1083</v>
      </c>
      <c r="H666" s="452" t="s">
        <v>1084</v>
      </c>
      <c r="I666" s="453" t="s">
        <v>844</v>
      </c>
      <c r="J666" s="453">
        <v>-9774.7999999999993</v>
      </c>
      <c r="K666" s="461">
        <v>-349.18</v>
      </c>
      <c r="L666" s="461">
        <v>404</v>
      </c>
      <c r="M666" s="461">
        <v>74.92</v>
      </c>
      <c r="N666" s="461">
        <v>0</v>
      </c>
      <c r="O666" s="461">
        <v>0</v>
      </c>
      <c r="P666" s="461">
        <v>0</v>
      </c>
      <c r="Q666" s="461">
        <v>0</v>
      </c>
      <c r="R666" s="461">
        <v>0</v>
      </c>
      <c r="S666" s="461">
        <v>0</v>
      </c>
      <c r="T666" s="461">
        <v>0</v>
      </c>
      <c r="U666" s="461">
        <v>0</v>
      </c>
      <c r="V666" s="461">
        <v>0</v>
      </c>
    </row>
    <row r="667" spans="1:22" s="455" customFormat="1" hidden="1">
      <c r="A667" s="455" t="str">
        <f t="shared" si="20"/>
        <v>11619101101800</v>
      </c>
      <c r="B667" s="455">
        <f>VLOOKUP(LEFT($C$3:$C$2600,3),Table!$D$2:$E$88,2,FALSE)</f>
        <v>0</v>
      </c>
      <c r="C667" s="455" t="str">
        <f t="shared" si="21"/>
        <v>9101101800</v>
      </c>
      <c r="D667" s="455" t="e">
        <f>VLOOKUP(G667,Table!$G$3:$H$21,2,FALSE)</f>
        <v>#N/A</v>
      </c>
      <c r="E667" s="452" t="s">
        <v>902</v>
      </c>
      <c r="F667" s="452" t="s">
        <v>1264</v>
      </c>
      <c r="G667" s="452" t="s">
        <v>1085</v>
      </c>
      <c r="H667" s="452" t="s">
        <v>1086</v>
      </c>
      <c r="I667" s="453" t="s">
        <v>844</v>
      </c>
      <c r="J667" s="453">
        <v>2726.2</v>
      </c>
      <c r="K667" s="461">
        <v>956.1</v>
      </c>
      <c r="L667" s="461">
        <v>854.8</v>
      </c>
      <c r="M667" s="461">
        <v>915.3</v>
      </c>
      <c r="N667" s="461">
        <v>0</v>
      </c>
      <c r="O667" s="461">
        <v>0</v>
      </c>
      <c r="P667" s="461">
        <v>0</v>
      </c>
      <c r="Q667" s="461">
        <v>0</v>
      </c>
      <c r="R667" s="461">
        <v>0</v>
      </c>
      <c r="S667" s="461">
        <v>0</v>
      </c>
      <c r="T667" s="461">
        <v>0</v>
      </c>
      <c r="U667" s="461">
        <v>0</v>
      </c>
      <c r="V667" s="461">
        <v>0</v>
      </c>
    </row>
    <row r="668" spans="1:22" s="455" customFormat="1" hidden="1">
      <c r="A668" s="455" t="str">
        <f t="shared" si="20"/>
        <v>11619101101900</v>
      </c>
      <c r="B668" s="455">
        <f>VLOOKUP(LEFT($C$3:$C$2600,3),Table!$D$2:$E$88,2,FALSE)</f>
        <v>0</v>
      </c>
      <c r="C668" s="455" t="str">
        <f t="shared" si="21"/>
        <v>9101101900</v>
      </c>
      <c r="D668" s="455" t="e">
        <f>VLOOKUP(G668,Table!$G$3:$H$21,2,FALSE)</f>
        <v>#N/A</v>
      </c>
      <c r="E668" s="452" t="s">
        <v>902</v>
      </c>
      <c r="F668" s="452" t="s">
        <v>1264</v>
      </c>
      <c r="G668" s="452" t="s">
        <v>1087</v>
      </c>
      <c r="H668" s="452" t="s">
        <v>1088</v>
      </c>
      <c r="I668" s="453" t="s">
        <v>844</v>
      </c>
      <c r="J668" s="453">
        <v>320.68</v>
      </c>
      <c r="K668" s="461">
        <v>106.32</v>
      </c>
      <c r="L668" s="461">
        <v>105.51</v>
      </c>
      <c r="M668" s="461">
        <v>108.85</v>
      </c>
      <c r="N668" s="461">
        <v>0</v>
      </c>
      <c r="O668" s="461">
        <v>0</v>
      </c>
      <c r="P668" s="461">
        <v>0</v>
      </c>
      <c r="Q668" s="461">
        <v>0</v>
      </c>
      <c r="R668" s="461">
        <v>0</v>
      </c>
      <c r="S668" s="461">
        <v>0</v>
      </c>
      <c r="T668" s="461">
        <v>0</v>
      </c>
      <c r="U668" s="461">
        <v>0</v>
      </c>
      <c r="V668" s="461">
        <v>0</v>
      </c>
    </row>
    <row r="669" spans="1:22" s="455" customFormat="1" hidden="1">
      <c r="A669" s="455" t="str">
        <f t="shared" si="20"/>
        <v>11619101201000</v>
      </c>
      <c r="B669" s="455">
        <f>VLOOKUP(LEFT($C$3:$C$2600,3),Table!$D$2:$E$88,2,FALSE)</f>
        <v>0</v>
      </c>
      <c r="C669" s="455" t="str">
        <f t="shared" si="21"/>
        <v>9101201000</v>
      </c>
      <c r="D669" s="455" t="e">
        <f>VLOOKUP(G669,Table!$G$3:$H$21,2,FALSE)</f>
        <v>#N/A</v>
      </c>
      <c r="E669" s="452" t="s">
        <v>902</v>
      </c>
      <c r="F669" s="452" t="s">
        <v>1264</v>
      </c>
      <c r="G669" s="452" t="s">
        <v>1091</v>
      </c>
      <c r="H669" s="452" t="s">
        <v>1092</v>
      </c>
      <c r="I669" s="453" t="s">
        <v>844</v>
      </c>
      <c r="J669" s="453">
        <v>17184</v>
      </c>
      <c r="K669" s="461">
        <v>5483</v>
      </c>
      <c r="L669" s="461">
        <v>5505</v>
      </c>
      <c r="M669" s="461">
        <v>6196</v>
      </c>
      <c r="N669" s="461">
        <v>0</v>
      </c>
      <c r="O669" s="461">
        <v>0</v>
      </c>
      <c r="P669" s="461">
        <v>0</v>
      </c>
      <c r="Q669" s="461">
        <v>0</v>
      </c>
      <c r="R669" s="461">
        <v>0</v>
      </c>
      <c r="S669" s="461">
        <v>0</v>
      </c>
      <c r="T669" s="461">
        <v>0</v>
      </c>
      <c r="U669" s="461">
        <v>0</v>
      </c>
      <c r="V669" s="461">
        <v>0</v>
      </c>
    </row>
    <row r="670" spans="1:22" s="455" customFormat="1" hidden="1">
      <c r="A670" s="455" t="str">
        <f t="shared" si="20"/>
        <v>11619101302500</v>
      </c>
      <c r="B670" s="455">
        <f>VLOOKUP(LEFT($C$3:$C$2600,3),Table!$D$2:$E$88,2,FALSE)</f>
        <v>0</v>
      </c>
      <c r="C670" s="455" t="str">
        <f t="shared" si="21"/>
        <v>9101302500</v>
      </c>
      <c r="D670" s="455" t="e">
        <f>VLOOKUP(G670,Table!$G$3:$H$21,2,FALSE)</f>
        <v>#N/A</v>
      </c>
      <c r="E670" s="452" t="s">
        <v>902</v>
      </c>
      <c r="F670" s="452" t="s">
        <v>1264</v>
      </c>
      <c r="G670" s="452" t="s">
        <v>973</v>
      </c>
      <c r="H670" s="452" t="s">
        <v>974</v>
      </c>
      <c r="I670" s="453" t="s">
        <v>844</v>
      </c>
      <c r="J670" s="453">
        <v>56659.3</v>
      </c>
      <c r="K670" s="461">
        <v>24334.6</v>
      </c>
      <c r="L670" s="461">
        <v>16699.099999999999</v>
      </c>
      <c r="M670" s="461">
        <v>16325.6</v>
      </c>
      <c r="N670" s="461">
        <v>0</v>
      </c>
      <c r="O670" s="461">
        <v>0</v>
      </c>
      <c r="P670" s="461">
        <v>0</v>
      </c>
      <c r="Q670" s="461">
        <v>0</v>
      </c>
      <c r="R670" s="461">
        <v>0</v>
      </c>
      <c r="S670" s="461">
        <v>0</v>
      </c>
      <c r="T670" s="461">
        <v>0</v>
      </c>
      <c r="U670" s="461">
        <v>0</v>
      </c>
      <c r="V670" s="461">
        <v>0</v>
      </c>
    </row>
    <row r="671" spans="1:22" s="455" customFormat="1" hidden="1">
      <c r="A671" s="455" t="str">
        <f t="shared" si="20"/>
        <v>11619101303600</v>
      </c>
      <c r="B671" s="455">
        <f>VLOOKUP(LEFT($C$3:$C$2600,3),Table!$D$2:$E$88,2,FALSE)</f>
        <v>0</v>
      </c>
      <c r="C671" s="455" t="str">
        <f t="shared" si="21"/>
        <v>9101303600</v>
      </c>
      <c r="D671" s="455" t="e">
        <f>VLOOKUP(G671,Table!$G$3:$H$21,2,FALSE)</f>
        <v>#N/A</v>
      </c>
      <c r="E671" s="452" t="s">
        <v>902</v>
      </c>
      <c r="F671" s="452" t="s">
        <v>1264</v>
      </c>
      <c r="G671" s="452" t="s">
        <v>1193</v>
      </c>
      <c r="H671" s="452" t="s">
        <v>1194</v>
      </c>
      <c r="I671" s="453" t="s">
        <v>844</v>
      </c>
      <c r="J671" s="453">
        <v>153697.94</v>
      </c>
      <c r="K671" s="461">
        <v>42883.64</v>
      </c>
      <c r="L671" s="461">
        <v>61461.760000000002</v>
      </c>
      <c r="M671" s="461">
        <v>49352.54</v>
      </c>
      <c r="N671" s="461">
        <v>0</v>
      </c>
      <c r="O671" s="461">
        <v>0</v>
      </c>
      <c r="P671" s="461">
        <v>0</v>
      </c>
      <c r="Q671" s="461">
        <v>0</v>
      </c>
      <c r="R671" s="461">
        <v>0</v>
      </c>
      <c r="S671" s="461">
        <v>0</v>
      </c>
      <c r="T671" s="461">
        <v>0</v>
      </c>
      <c r="U671" s="461">
        <v>0</v>
      </c>
      <c r="V671" s="461">
        <v>0</v>
      </c>
    </row>
    <row r="672" spans="1:22" s="455" customFormat="1" hidden="1">
      <c r="A672" s="455" t="str">
        <f t="shared" si="20"/>
        <v>11619152020212</v>
      </c>
      <c r="B672" s="455">
        <f>VLOOKUP(LEFT($C$3:$C$2600,3),Table!$D$2:$E$88,2,FALSE)</f>
        <v>0</v>
      </c>
      <c r="C672" s="455" t="str">
        <f t="shared" si="21"/>
        <v>9152020212</v>
      </c>
      <c r="D672" s="455" t="e">
        <f>VLOOKUP(G672,Table!$G$3:$H$21,2,FALSE)</f>
        <v>#N/A</v>
      </c>
      <c r="E672" s="452" t="s">
        <v>902</v>
      </c>
      <c r="F672" s="452" t="s">
        <v>1264</v>
      </c>
      <c r="G672" s="452" t="s">
        <v>1023</v>
      </c>
      <c r="H672" s="452" t="s">
        <v>1024</v>
      </c>
      <c r="I672" s="453" t="s">
        <v>844</v>
      </c>
      <c r="J672" s="453">
        <v>1418</v>
      </c>
      <c r="K672" s="461">
        <v>200</v>
      </c>
      <c r="L672" s="461">
        <v>1118</v>
      </c>
      <c r="M672" s="461">
        <v>322</v>
      </c>
      <c r="N672" s="461">
        <v>0</v>
      </c>
      <c r="O672" s="461">
        <v>0</v>
      </c>
      <c r="P672" s="461">
        <v>0</v>
      </c>
      <c r="Q672" s="461">
        <v>0</v>
      </c>
      <c r="R672" s="461">
        <v>0</v>
      </c>
      <c r="S672" s="461">
        <v>0</v>
      </c>
      <c r="T672" s="461">
        <v>0</v>
      </c>
      <c r="U672" s="461">
        <v>0</v>
      </c>
      <c r="V672" s="461">
        <v>0</v>
      </c>
    </row>
    <row r="673" spans="1:22" s="455" customFormat="1" hidden="1">
      <c r="A673" s="455" t="str">
        <f t="shared" si="20"/>
        <v>11619152068111</v>
      </c>
      <c r="B673" s="455">
        <f>VLOOKUP(LEFT($C$3:$C$2600,3),Table!$D$2:$E$88,2,FALSE)</f>
        <v>0</v>
      </c>
      <c r="C673" s="455" t="str">
        <f t="shared" si="21"/>
        <v>9152068111</v>
      </c>
      <c r="D673" s="455" t="e">
        <f>VLOOKUP(G673,Table!$G$3:$H$21,2,FALSE)</f>
        <v>#N/A</v>
      </c>
      <c r="E673" s="452" t="s">
        <v>902</v>
      </c>
      <c r="F673" s="452" t="s">
        <v>1264</v>
      </c>
      <c r="G673" s="452" t="s">
        <v>1265</v>
      </c>
      <c r="H673" s="452" t="s">
        <v>1266</v>
      </c>
      <c r="I673" s="453" t="s">
        <v>844</v>
      </c>
      <c r="J673" s="453">
        <v>19786.78</v>
      </c>
      <c r="K673" s="461">
        <v>3715.4</v>
      </c>
      <c r="L673" s="461">
        <v>3054.96</v>
      </c>
      <c r="M673" s="461">
        <v>12996.42</v>
      </c>
      <c r="N673" s="461">
        <v>0</v>
      </c>
      <c r="O673" s="461">
        <v>0</v>
      </c>
      <c r="P673" s="461">
        <v>0</v>
      </c>
      <c r="Q673" s="461">
        <v>0</v>
      </c>
      <c r="R673" s="461">
        <v>0</v>
      </c>
      <c r="S673" s="461">
        <v>0</v>
      </c>
      <c r="T673" s="461">
        <v>0</v>
      </c>
      <c r="U673" s="461">
        <v>0</v>
      </c>
      <c r="V673" s="461">
        <v>0</v>
      </c>
    </row>
    <row r="674" spans="1:22" s="455" customFormat="1" hidden="1">
      <c r="A674" s="455" t="str">
        <f t="shared" si="20"/>
        <v>11619152068121</v>
      </c>
      <c r="B674" s="455">
        <f>VLOOKUP(LEFT($C$3:$C$2600,3),Table!$D$2:$E$88,2,FALSE)</f>
        <v>0</v>
      </c>
      <c r="C674" s="455" t="str">
        <f t="shared" si="21"/>
        <v>9152068121</v>
      </c>
      <c r="D674" s="455" t="e">
        <f>VLOOKUP(G674,Table!$G$3:$H$21,2,FALSE)</f>
        <v>#N/A</v>
      </c>
      <c r="E674" s="452" t="s">
        <v>902</v>
      </c>
      <c r="F674" s="452" t="s">
        <v>1264</v>
      </c>
      <c r="G674" s="452" t="s">
        <v>1267</v>
      </c>
      <c r="H674" s="452" t="s">
        <v>1268</v>
      </c>
      <c r="I674" s="453" t="s">
        <v>844</v>
      </c>
      <c r="J674" s="453">
        <v>11423.57</v>
      </c>
      <c r="K674" s="461">
        <v>350</v>
      </c>
      <c r="L674" s="461">
        <v>9713.2999999999993</v>
      </c>
      <c r="M674" s="461">
        <v>1360.27</v>
      </c>
      <c r="N674" s="461">
        <v>0</v>
      </c>
      <c r="O674" s="461">
        <v>0</v>
      </c>
      <c r="P674" s="461">
        <v>0</v>
      </c>
      <c r="Q674" s="461">
        <v>0</v>
      </c>
      <c r="R674" s="461">
        <v>0</v>
      </c>
      <c r="S674" s="461">
        <v>0</v>
      </c>
      <c r="T674" s="461">
        <v>0</v>
      </c>
      <c r="U674" s="461">
        <v>0</v>
      </c>
      <c r="V674" s="461">
        <v>0</v>
      </c>
    </row>
    <row r="675" spans="1:22" s="455" customFormat="1" hidden="1">
      <c r="A675" s="455" t="str">
        <f t="shared" si="20"/>
        <v>11619152090000</v>
      </c>
      <c r="B675" s="455">
        <f>VLOOKUP(LEFT($C$3:$C$2600,3),Table!$D$2:$E$88,2,FALSE)</f>
        <v>0</v>
      </c>
      <c r="C675" s="455" t="str">
        <f t="shared" si="21"/>
        <v>9152090000</v>
      </c>
      <c r="D675" s="455" t="e">
        <f>VLOOKUP(G675,Table!$G$3:$H$21,2,FALSE)</f>
        <v>#N/A</v>
      </c>
      <c r="E675" s="452" t="s">
        <v>902</v>
      </c>
      <c r="F675" s="452" t="s">
        <v>1264</v>
      </c>
      <c r="G675" s="452" t="s">
        <v>1033</v>
      </c>
      <c r="H675" s="452" t="s">
        <v>1034</v>
      </c>
      <c r="I675" s="453" t="s">
        <v>844</v>
      </c>
      <c r="J675" s="453">
        <v>29591.1</v>
      </c>
      <c r="K675" s="461">
        <v>30579.599999999999</v>
      </c>
      <c r="L675" s="461">
        <v>-28750</v>
      </c>
      <c r="M675" s="461">
        <v>545.5</v>
      </c>
      <c r="N675" s="461">
        <v>0</v>
      </c>
      <c r="O675" s="461">
        <v>0</v>
      </c>
      <c r="P675" s="461">
        <v>0</v>
      </c>
      <c r="Q675" s="461">
        <v>0</v>
      </c>
      <c r="R675" s="461">
        <v>0</v>
      </c>
      <c r="S675" s="461">
        <v>0</v>
      </c>
      <c r="T675" s="461">
        <v>0</v>
      </c>
      <c r="U675" s="461">
        <v>0</v>
      </c>
      <c r="V675" s="461">
        <v>0</v>
      </c>
    </row>
    <row r="676" spans="1:22" s="455" customFormat="1" hidden="1">
      <c r="A676" s="455" t="str">
        <f t="shared" si="20"/>
        <v>11619153001000</v>
      </c>
      <c r="B676" s="455">
        <f>VLOOKUP(LEFT($C$3:$C$2600,3),Table!$D$2:$E$88,2,FALSE)</f>
        <v>0</v>
      </c>
      <c r="C676" s="455" t="str">
        <f t="shared" si="21"/>
        <v>9153001000</v>
      </c>
      <c r="D676" s="455" t="e">
        <f>VLOOKUP(G676,Table!$G$3:$H$21,2,FALSE)</f>
        <v>#N/A</v>
      </c>
      <c r="E676" s="452" t="s">
        <v>902</v>
      </c>
      <c r="F676" s="452" t="s">
        <v>1264</v>
      </c>
      <c r="G676" s="452" t="s">
        <v>1043</v>
      </c>
      <c r="H676" s="452" t="s">
        <v>1044</v>
      </c>
      <c r="I676" s="453" t="s">
        <v>844</v>
      </c>
      <c r="J676" s="453">
        <v>26430</v>
      </c>
      <c r="K676" s="461">
        <v>8810</v>
      </c>
      <c r="L676" s="461">
        <v>8810</v>
      </c>
      <c r="M676" s="461">
        <v>8810</v>
      </c>
      <c r="N676" s="461">
        <v>0</v>
      </c>
      <c r="O676" s="461">
        <v>0</v>
      </c>
      <c r="P676" s="461">
        <v>0</v>
      </c>
      <c r="Q676" s="461">
        <v>0</v>
      </c>
      <c r="R676" s="461">
        <v>0</v>
      </c>
      <c r="S676" s="461">
        <v>0</v>
      </c>
      <c r="T676" s="461">
        <v>0</v>
      </c>
      <c r="U676" s="461">
        <v>0</v>
      </c>
      <c r="V676" s="461">
        <v>0</v>
      </c>
    </row>
    <row r="677" spans="1:22" s="455" customFormat="1" hidden="1">
      <c r="A677" s="455" t="str">
        <f t="shared" si="20"/>
        <v>11629101101000</v>
      </c>
      <c r="B677" s="455">
        <f>VLOOKUP(LEFT($C$3:$C$2600,3),Table!$D$2:$E$88,2,FALSE)</f>
        <v>0</v>
      </c>
      <c r="C677" s="455" t="str">
        <f t="shared" si="21"/>
        <v>9101101000</v>
      </c>
      <c r="D677" s="455" t="e">
        <f>VLOOKUP(G677,Table!$G$3:$H$21,2,FALSE)</f>
        <v>#N/A</v>
      </c>
      <c r="E677" s="452" t="s">
        <v>902</v>
      </c>
      <c r="F677" s="452" t="s">
        <v>1269</v>
      </c>
      <c r="G677" s="452" t="s">
        <v>1067</v>
      </c>
      <c r="H677" s="452" t="s">
        <v>1068</v>
      </c>
      <c r="I677" s="453" t="s">
        <v>844</v>
      </c>
      <c r="J677" s="453">
        <v>21875.07</v>
      </c>
      <c r="K677" s="461">
        <v>7886.58</v>
      </c>
      <c r="L677" s="461">
        <v>7574.33</v>
      </c>
      <c r="M677" s="461">
        <v>7568.33</v>
      </c>
      <c r="N677" s="461">
        <v>0</v>
      </c>
      <c r="O677" s="461">
        <v>0</v>
      </c>
      <c r="P677" s="461">
        <v>0</v>
      </c>
      <c r="Q677" s="461">
        <v>0</v>
      </c>
      <c r="R677" s="461">
        <v>0</v>
      </c>
      <c r="S677" s="461">
        <v>0</v>
      </c>
      <c r="T677" s="461">
        <v>0</v>
      </c>
      <c r="U677" s="461">
        <v>0</v>
      </c>
      <c r="V677" s="461">
        <v>0</v>
      </c>
    </row>
    <row r="678" spans="1:22" s="455" customFormat="1" hidden="1">
      <c r="A678" s="455" t="str">
        <f t="shared" si="20"/>
        <v>11629101101100</v>
      </c>
      <c r="B678" s="455">
        <f>VLOOKUP(LEFT($C$3:$C$2600,3),Table!$D$2:$E$88,2,FALSE)</f>
        <v>0</v>
      </c>
      <c r="C678" s="455" t="str">
        <f t="shared" si="21"/>
        <v>9101101100</v>
      </c>
      <c r="D678" s="455" t="e">
        <f>VLOOKUP(G678,Table!$G$3:$H$21,2,FALSE)</f>
        <v>#N/A</v>
      </c>
      <c r="E678" s="452" t="s">
        <v>902</v>
      </c>
      <c r="F678" s="452" t="s">
        <v>1269</v>
      </c>
      <c r="G678" s="452" t="s">
        <v>1069</v>
      </c>
      <c r="H678" s="452" t="s">
        <v>1070</v>
      </c>
      <c r="I678" s="453" t="s">
        <v>844</v>
      </c>
      <c r="J678" s="453">
        <v>17409.060000000001</v>
      </c>
      <c r="K678" s="461">
        <v>6493.77</v>
      </c>
      <c r="L678" s="461">
        <v>6488.53</v>
      </c>
      <c r="M678" s="461">
        <v>5428.19</v>
      </c>
      <c r="N678" s="461">
        <v>0</v>
      </c>
      <c r="O678" s="461">
        <v>0</v>
      </c>
      <c r="P678" s="461">
        <v>0</v>
      </c>
      <c r="Q678" s="461">
        <v>0</v>
      </c>
      <c r="R678" s="461">
        <v>0</v>
      </c>
      <c r="S678" s="461">
        <v>0</v>
      </c>
      <c r="T678" s="461">
        <v>0</v>
      </c>
      <c r="U678" s="461">
        <v>0</v>
      </c>
      <c r="V678" s="461">
        <v>0</v>
      </c>
    </row>
    <row r="679" spans="1:22" s="455" customFormat="1" hidden="1">
      <c r="A679" s="455" t="str">
        <f t="shared" si="20"/>
        <v>11629101101200</v>
      </c>
      <c r="B679" s="455">
        <f>VLOOKUP(LEFT($C$3:$C$2600,3),Table!$D$2:$E$88,2,FALSE)</f>
        <v>0</v>
      </c>
      <c r="C679" s="455" t="str">
        <f t="shared" si="21"/>
        <v>9101101200</v>
      </c>
      <c r="D679" s="455" t="e">
        <f>VLOOKUP(G679,Table!$G$3:$H$21,2,FALSE)</f>
        <v>#N/A</v>
      </c>
      <c r="E679" s="452" t="s">
        <v>902</v>
      </c>
      <c r="F679" s="452" t="s">
        <v>1269</v>
      </c>
      <c r="G679" s="452" t="s">
        <v>1071</v>
      </c>
      <c r="H679" s="452" t="s">
        <v>1072</v>
      </c>
      <c r="I679" s="453" t="s">
        <v>844</v>
      </c>
      <c r="J679" s="453">
        <v>3010.71</v>
      </c>
      <c r="K679" s="461">
        <v>1003.54</v>
      </c>
      <c r="L679" s="461">
        <v>1008.52</v>
      </c>
      <c r="M679" s="461">
        <v>998.65</v>
      </c>
      <c r="N679" s="461">
        <v>0</v>
      </c>
      <c r="O679" s="461">
        <v>0</v>
      </c>
      <c r="P679" s="461">
        <v>0</v>
      </c>
      <c r="Q679" s="461">
        <v>0</v>
      </c>
      <c r="R679" s="461">
        <v>0</v>
      </c>
      <c r="S679" s="461">
        <v>0</v>
      </c>
      <c r="T679" s="461">
        <v>0</v>
      </c>
      <c r="U679" s="461">
        <v>0</v>
      </c>
      <c r="V679" s="461">
        <v>0</v>
      </c>
    </row>
    <row r="680" spans="1:22" s="455" customFormat="1" hidden="1">
      <c r="A680" s="455" t="str">
        <f t="shared" si="20"/>
        <v>11629101101400</v>
      </c>
      <c r="B680" s="455">
        <f>VLOOKUP(LEFT($C$3:$C$2600,3),Table!$D$2:$E$88,2,FALSE)</f>
        <v>0</v>
      </c>
      <c r="C680" s="455" t="str">
        <f t="shared" si="21"/>
        <v>9101101400</v>
      </c>
      <c r="D680" s="455" t="e">
        <f>VLOOKUP(G680,Table!$G$3:$H$21,2,FALSE)</f>
        <v>#N/A</v>
      </c>
      <c r="E680" s="452" t="s">
        <v>902</v>
      </c>
      <c r="F680" s="452" t="s">
        <v>1269</v>
      </c>
      <c r="G680" s="452" t="s">
        <v>1075</v>
      </c>
      <c r="H680" s="452" t="s">
        <v>1076</v>
      </c>
      <c r="I680" s="453" t="s">
        <v>844</v>
      </c>
      <c r="J680" s="453">
        <v>3965</v>
      </c>
      <c r="K680" s="461">
        <v>1311</v>
      </c>
      <c r="L680" s="461">
        <v>1303</v>
      </c>
      <c r="M680" s="461">
        <v>1351</v>
      </c>
      <c r="N680" s="461">
        <v>0</v>
      </c>
      <c r="O680" s="461">
        <v>0</v>
      </c>
      <c r="P680" s="461">
        <v>0</v>
      </c>
      <c r="Q680" s="461">
        <v>0</v>
      </c>
      <c r="R680" s="461">
        <v>0</v>
      </c>
      <c r="S680" s="461">
        <v>0</v>
      </c>
      <c r="T680" s="461">
        <v>0</v>
      </c>
      <c r="U680" s="461">
        <v>0</v>
      </c>
      <c r="V680" s="461">
        <v>0</v>
      </c>
    </row>
    <row r="681" spans="1:22" s="455" customFormat="1" hidden="1">
      <c r="A681" s="455" t="str">
        <f t="shared" si="20"/>
        <v>11629101101410</v>
      </c>
      <c r="B681" s="455">
        <f>VLOOKUP(LEFT($C$3:$C$2600,3),Table!$D$2:$E$88,2,FALSE)</f>
        <v>0</v>
      </c>
      <c r="C681" s="455" t="str">
        <f t="shared" si="21"/>
        <v>9101101410</v>
      </c>
      <c r="D681" s="455" t="e">
        <f>VLOOKUP(G681,Table!$G$3:$H$21,2,FALSE)</f>
        <v>#N/A</v>
      </c>
      <c r="E681" s="452" t="s">
        <v>902</v>
      </c>
      <c r="F681" s="452" t="s">
        <v>1269</v>
      </c>
      <c r="G681" s="452" t="s">
        <v>1077</v>
      </c>
      <c r="H681" s="452" t="s">
        <v>1078</v>
      </c>
      <c r="I681" s="453" t="s">
        <v>844</v>
      </c>
      <c r="J681" s="453">
        <v>180</v>
      </c>
      <c r="K681" s="461">
        <v>60</v>
      </c>
      <c r="L681" s="461">
        <v>60</v>
      </c>
      <c r="M681" s="461">
        <v>60</v>
      </c>
      <c r="N681" s="461">
        <v>0</v>
      </c>
      <c r="O681" s="461">
        <v>0</v>
      </c>
      <c r="P681" s="461">
        <v>0</v>
      </c>
      <c r="Q681" s="461">
        <v>0</v>
      </c>
      <c r="R681" s="461">
        <v>0</v>
      </c>
      <c r="S681" s="461">
        <v>0</v>
      </c>
      <c r="T681" s="461">
        <v>0</v>
      </c>
      <c r="U681" s="461">
        <v>0</v>
      </c>
      <c r="V681" s="461">
        <v>0</v>
      </c>
    </row>
    <row r="682" spans="1:22" s="455" customFormat="1" hidden="1">
      <c r="A682" s="455" t="str">
        <f t="shared" si="20"/>
        <v>11629101101500</v>
      </c>
      <c r="B682" s="455">
        <f>VLOOKUP(LEFT($C$3:$C$2600,3),Table!$D$2:$E$88,2,FALSE)</f>
        <v>0</v>
      </c>
      <c r="C682" s="455" t="str">
        <f t="shared" si="21"/>
        <v>9101101500</v>
      </c>
      <c r="D682" s="455" t="e">
        <f>VLOOKUP(G682,Table!$G$3:$H$21,2,FALSE)</f>
        <v>#N/A</v>
      </c>
      <c r="E682" s="452" t="s">
        <v>902</v>
      </c>
      <c r="F682" s="452" t="s">
        <v>1269</v>
      </c>
      <c r="G682" s="452" t="s">
        <v>1079</v>
      </c>
      <c r="H682" s="452" t="s">
        <v>1080</v>
      </c>
      <c r="I682" s="453" t="s">
        <v>844</v>
      </c>
      <c r="J682" s="453">
        <v>604</v>
      </c>
      <c r="K682" s="461">
        <v>201.3</v>
      </c>
      <c r="L682" s="461">
        <v>199.6</v>
      </c>
      <c r="M682" s="461">
        <v>203.1</v>
      </c>
      <c r="N682" s="461">
        <v>0</v>
      </c>
      <c r="O682" s="461">
        <v>0</v>
      </c>
      <c r="P682" s="461">
        <v>0</v>
      </c>
      <c r="Q682" s="461">
        <v>0</v>
      </c>
      <c r="R682" s="461">
        <v>0</v>
      </c>
      <c r="S682" s="461">
        <v>0</v>
      </c>
      <c r="T682" s="461">
        <v>0</v>
      </c>
      <c r="U682" s="461">
        <v>0</v>
      </c>
      <c r="V682" s="461">
        <v>0</v>
      </c>
    </row>
    <row r="683" spans="1:22" s="455" customFormat="1" hidden="1">
      <c r="A683" s="455" t="str">
        <f t="shared" si="20"/>
        <v>11629101101600</v>
      </c>
      <c r="B683" s="455">
        <f>VLOOKUP(LEFT($C$3:$C$2600,3),Table!$D$2:$E$88,2,FALSE)</f>
        <v>0</v>
      </c>
      <c r="C683" s="455" t="str">
        <f t="shared" si="21"/>
        <v>9101101600</v>
      </c>
      <c r="D683" s="455" t="e">
        <f>VLOOKUP(G683,Table!$G$3:$H$21,2,FALSE)</f>
        <v>#N/A</v>
      </c>
      <c r="E683" s="452" t="s">
        <v>902</v>
      </c>
      <c r="F683" s="452" t="s">
        <v>1269</v>
      </c>
      <c r="G683" s="452" t="s">
        <v>1081</v>
      </c>
      <c r="H683" s="452" t="s">
        <v>1082</v>
      </c>
      <c r="I683" s="453" t="s">
        <v>844</v>
      </c>
      <c r="J683" s="453">
        <v>5192.22</v>
      </c>
      <c r="K683" s="461">
        <v>1730.74</v>
      </c>
      <c r="L683" s="461">
        <v>1730.74</v>
      </c>
      <c r="M683" s="461">
        <v>1730.74</v>
      </c>
      <c r="N683" s="461">
        <v>0</v>
      </c>
      <c r="O683" s="461">
        <v>0</v>
      </c>
      <c r="P683" s="461">
        <v>0</v>
      </c>
      <c r="Q683" s="461">
        <v>0</v>
      </c>
      <c r="R683" s="461">
        <v>0</v>
      </c>
      <c r="S683" s="461">
        <v>0</v>
      </c>
      <c r="T683" s="461">
        <v>0</v>
      </c>
      <c r="U683" s="461">
        <v>0</v>
      </c>
      <c r="V683" s="461">
        <v>0</v>
      </c>
    </row>
    <row r="684" spans="1:22" s="455" customFormat="1" hidden="1">
      <c r="A684" s="455" t="str">
        <f t="shared" si="20"/>
        <v>11629101101700</v>
      </c>
      <c r="B684" s="455">
        <f>VLOOKUP(LEFT($C$3:$C$2600,3),Table!$D$2:$E$88,2,FALSE)</f>
        <v>0</v>
      </c>
      <c r="C684" s="455" t="str">
        <f t="shared" si="21"/>
        <v>9101101700</v>
      </c>
      <c r="D684" s="455" t="e">
        <f>VLOOKUP(G684,Table!$G$3:$H$21,2,FALSE)</f>
        <v>#N/A</v>
      </c>
      <c r="E684" s="452" t="s">
        <v>902</v>
      </c>
      <c r="F684" s="452" t="s">
        <v>1269</v>
      </c>
      <c r="G684" s="452" t="s">
        <v>1083</v>
      </c>
      <c r="H684" s="452" t="s">
        <v>1084</v>
      </c>
      <c r="I684" s="453" t="s">
        <v>844</v>
      </c>
      <c r="J684" s="453">
        <v>-6961.11</v>
      </c>
      <c r="K684" s="461">
        <v>2472.16</v>
      </c>
      <c r="L684" s="461">
        <v>285.02999999999997</v>
      </c>
      <c r="M684" s="461">
        <v>312.67</v>
      </c>
      <c r="N684" s="461">
        <v>0</v>
      </c>
      <c r="O684" s="461">
        <v>0</v>
      </c>
      <c r="P684" s="461">
        <v>0</v>
      </c>
      <c r="Q684" s="461">
        <v>0</v>
      </c>
      <c r="R684" s="461">
        <v>0</v>
      </c>
      <c r="S684" s="461">
        <v>0</v>
      </c>
      <c r="T684" s="461">
        <v>0</v>
      </c>
      <c r="U684" s="461">
        <v>0</v>
      </c>
      <c r="V684" s="461">
        <v>0</v>
      </c>
    </row>
    <row r="685" spans="1:22" s="455" customFormat="1" hidden="1">
      <c r="A685" s="455" t="str">
        <f t="shared" si="20"/>
        <v>11629101101800</v>
      </c>
      <c r="B685" s="455">
        <f>VLOOKUP(LEFT($C$3:$C$2600,3),Table!$D$2:$E$88,2,FALSE)</f>
        <v>0</v>
      </c>
      <c r="C685" s="455" t="str">
        <f t="shared" si="21"/>
        <v>9101101800</v>
      </c>
      <c r="D685" s="455" t="e">
        <f>VLOOKUP(G685,Table!$G$3:$H$21,2,FALSE)</f>
        <v>#N/A</v>
      </c>
      <c r="E685" s="452" t="s">
        <v>902</v>
      </c>
      <c r="F685" s="452" t="s">
        <v>1269</v>
      </c>
      <c r="G685" s="452" t="s">
        <v>1085</v>
      </c>
      <c r="H685" s="452" t="s">
        <v>1086</v>
      </c>
      <c r="I685" s="453" t="s">
        <v>844</v>
      </c>
      <c r="J685" s="453">
        <v>1821.1</v>
      </c>
      <c r="K685" s="461">
        <v>676.8</v>
      </c>
      <c r="L685" s="461">
        <v>563</v>
      </c>
      <c r="M685" s="461">
        <v>581.29999999999995</v>
      </c>
      <c r="N685" s="461">
        <v>0</v>
      </c>
      <c r="O685" s="461">
        <v>0</v>
      </c>
      <c r="P685" s="461">
        <v>0</v>
      </c>
      <c r="Q685" s="461">
        <v>0</v>
      </c>
      <c r="R685" s="461">
        <v>0</v>
      </c>
      <c r="S685" s="461">
        <v>0</v>
      </c>
      <c r="T685" s="461">
        <v>0</v>
      </c>
      <c r="U685" s="461">
        <v>0</v>
      </c>
      <c r="V685" s="461">
        <v>0</v>
      </c>
    </row>
    <row r="686" spans="1:22" s="455" customFormat="1" hidden="1">
      <c r="A686" s="455" t="str">
        <f t="shared" si="20"/>
        <v>11629101101900</v>
      </c>
      <c r="B686" s="455">
        <f>VLOOKUP(LEFT($C$3:$C$2600,3),Table!$D$2:$E$88,2,FALSE)</f>
        <v>0</v>
      </c>
      <c r="C686" s="455" t="str">
        <f t="shared" si="21"/>
        <v>9101101900</v>
      </c>
      <c r="D686" s="455" t="e">
        <f>VLOOKUP(G686,Table!$G$3:$H$21,2,FALSE)</f>
        <v>#N/A</v>
      </c>
      <c r="E686" s="452" t="s">
        <v>902</v>
      </c>
      <c r="F686" s="452" t="s">
        <v>1269</v>
      </c>
      <c r="G686" s="452" t="s">
        <v>1087</v>
      </c>
      <c r="H686" s="452" t="s">
        <v>1088</v>
      </c>
      <c r="I686" s="453" t="s">
        <v>844</v>
      </c>
      <c r="J686" s="453">
        <v>261.16000000000003</v>
      </c>
      <c r="K686" s="461">
        <v>86.09</v>
      </c>
      <c r="L686" s="461">
        <v>85.96</v>
      </c>
      <c r="M686" s="461">
        <v>89.11</v>
      </c>
      <c r="N686" s="461">
        <v>0</v>
      </c>
      <c r="O686" s="461">
        <v>0</v>
      </c>
      <c r="P686" s="461">
        <v>0</v>
      </c>
      <c r="Q686" s="461">
        <v>0</v>
      </c>
      <c r="R686" s="461">
        <v>0</v>
      </c>
      <c r="S686" s="461">
        <v>0</v>
      </c>
      <c r="T686" s="461">
        <v>0</v>
      </c>
      <c r="U686" s="461">
        <v>0</v>
      </c>
      <c r="V686" s="461">
        <v>0</v>
      </c>
    </row>
    <row r="687" spans="1:22" s="455" customFormat="1" hidden="1">
      <c r="A687" s="455" t="str">
        <f t="shared" si="20"/>
        <v>11629101201000</v>
      </c>
      <c r="B687" s="455">
        <f>VLOOKUP(LEFT($C$3:$C$2600,3),Table!$D$2:$E$88,2,FALSE)</f>
        <v>0</v>
      </c>
      <c r="C687" s="455" t="str">
        <f t="shared" si="21"/>
        <v>9101201000</v>
      </c>
      <c r="D687" s="455" t="e">
        <f>VLOOKUP(G687,Table!$G$3:$H$21,2,FALSE)</f>
        <v>#N/A</v>
      </c>
      <c r="E687" s="452" t="s">
        <v>902</v>
      </c>
      <c r="F687" s="452" t="s">
        <v>1269</v>
      </c>
      <c r="G687" s="452" t="s">
        <v>1091</v>
      </c>
      <c r="H687" s="452" t="s">
        <v>1092</v>
      </c>
      <c r="I687" s="453" t="s">
        <v>844</v>
      </c>
      <c r="J687" s="453">
        <v>87259</v>
      </c>
      <c r="K687" s="461">
        <v>30158</v>
      </c>
      <c r="L687" s="461">
        <v>22520</v>
      </c>
      <c r="M687" s="461">
        <v>34581</v>
      </c>
      <c r="N687" s="461">
        <v>0</v>
      </c>
      <c r="O687" s="461">
        <v>0</v>
      </c>
      <c r="P687" s="461">
        <v>0</v>
      </c>
      <c r="Q687" s="461">
        <v>0</v>
      </c>
      <c r="R687" s="461">
        <v>0</v>
      </c>
      <c r="S687" s="461">
        <v>0</v>
      </c>
      <c r="T687" s="461">
        <v>0</v>
      </c>
      <c r="U687" s="461">
        <v>0</v>
      </c>
      <c r="V687" s="461">
        <v>0</v>
      </c>
    </row>
    <row r="688" spans="1:22" s="455" customFormat="1" hidden="1">
      <c r="A688" s="455" t="str">
        <f t="shared" si="20"/>
        <v>11629101201400</v>
      </c>
      <c r="B688" s="455">
        <f>VLOOKUP(LEFT($C$3:$C$2600,3),Table!$D$2:$E$88,2,FALSE)</f>
        <v>0</v>
      </c>
      <c r="C688" s="455" t="str">
        <f t="shared" si="21"/>
        <v>9101201400</v>
      </c>
      <c r="D688" s="455" t="e">
        <f>VLOOKUP(G688,Table!$G$3:$H$21,2,FALSE)</f>
        <v>#N/A</v>
      </c>
      <c r="E688" s="452" t="s">
        <v>902</v>
      </c>
      <c r="F688" s="452" t="s">
        <v>1269</v>
      </c>
      <c r="G688" s="452" t="s">
        <v>1093</v>
      </c>
      <c r="H688" s="452" t="s">
        <v>1094</v>
      </c>
      <c r="I688" s="453" t="s">
        <v>844</v>
      </c>
      <c r="J688" s="453">
        <v>72404.09</v>
      </c>
      <c r="K688" s="461">
        <v>26361</v>
      </c>
      <c r="L688" s="461">
        <v>25342</v>
      </c>
      <c r="M688" s="461">
        <v>20701.09</v>
      </c>
      <c r="N688" s="461">
        <v>0</v>
      </c>
      <c r="O688" s="461">
        <v>0</v>
      </c>
      <c r="P688" s="461">
        <v>0</v>
      </c>
      <c r="Q688" s="461">
        <v>0</v>
      </c>
      <c r="R688" s="461">
        <v>0</v>
      </c>
      <c r="S688" s="461">
        <v>0</v>
      </c>
      <c r="T688" s="461">
        <v>0</v>
      </c>
      <c r="U688" s="461">
        <v>0</v>
      </c>
      <c r="V688" s="461">
        <v>0</v>
      </c>
    </row>
    <row r="689" spans="1:22" s="455" customFormat="1" hidden="1">
      <c r="A689" s="455" t="str">
        <f t="shared" si="20"/>
        <v>11629152011221</v>
      </c>
      <c r="B689" s="455">
        <f>VLOOKUP(LEFT($C$3:$C$2600,3),Table!$D$2:$E$88,2,FALSE)</f>
        <v>0</v>
      </c>
      <c r="C689" s="455" t="str">
        <f t="shared" si="21"/>
        <v>9152011221</v>
      </c>
      <c r="D689" s="455" t="e">
        <f>VLOOKUP(G689,Table!$G$3:$H$21,2,FALSE)</f>
        <v>#N/A</v>
      </c>
      <c r="E689" s="452" t="s">
        <v>902</v>
      </c>
      <c r="F689" s="452" t="s">
        <v>1269</v>
      </c>
      <c r="G689" s="452" t="s">
        <v>1242</v>
      </c>
      <c r="H689" s="452" t="s">
        <v>1243</v>
      </c>
      <c r="I689" s="453" t="s">
        <v>844</v>
      </c>
      <c r="J689" s="453">
        <v>1425</v>
      </c>
      <c r="K689" s="461">
        <v>0</v>
      </c>
      <c r="L689" s="461">
        <v>0</v>
      </c>
      <c r="M689" s="461">
        <v>1425</v>
      </c>
      <c r="N689" s="461">
        <v>0</v>
      </c>
      <c r="O689" s="461">
        <v>0</v>
      </c>
      <c r="P689" s="461">
        <v>0</v>
      </c>
      <c r="Q689" s="461">
        <v>0</v>
      </c>
      <c r="R689" s="461">
        <v>0</v>
      </c>
      <c r="S689" s="461">
        <v>0</v>
      </c>
      <c r="T689" s="461">
        <v>0</v>
      </c>
      <c r="U689" s="461">
        <v>0</v>
      </c>
      <c r="V689" s="461">
        <v>0</v>
      </c>
    </row>
    <row r="690" spans="1:22" s="455" customFormat="1" hidden="1">
      <c r="A690" s="455" t="str">
        <f t="shared" si="20"/>
        <v>11629152068211</v>
      </c>
      <c r="B690" s="455">
        <f>VLOOKUP(LEFT($C$3:$C$2600,3),Table!$D$2:$E$88,2,FALSE)</f>
        <v>0</v>
      </c>
      <c r="C690" s="455" t="str">
        <f t="shared" si="21"/>
        <v>9152068211</v>
      </c>
      <c r="D690" s="455" t="e">
        <f>VLOOKUP(G690,Table!$G$3:$H$21,2,FALSE)</f>
        <v>#N/A</v>
      </c>
      <c r="E690" s="452" t="s">
        <v>902</v>
      </c>
      <c r="F690" s="452" t="s">
        <v>1269</v>
      </c>
      <c r="G690" s="452" t="s">
        <v>1270</v>
      </c>
      <c r="H690" s="452" t="s">
        <v>1271</v>
      </c>
      <c r="I690" s="453" t="s">
        <v>844</v>
      </c>
      <c r="J690" s="453">
        <v>11776.81</v>
      </c>
      <c r="K690" s="461">
        <v>9924.31</v>
      </c>
      <c r="L690" s="461">
        <v>1852.5</v>
      </c>
      <c r="M690" s="461">
        <v>0</v>
      </c>
      <c r="N690" s="461">
        <v>0</v>
      </c>
      <c r="O690" s="461">
        <v>0</v>
      </c>
      <c r="P690" s="461">
        <v>0</v>
      </c>
      <c r="Q690" s="461">
        <v>0</v>
      </c>
      <c r="R690" s="461">
        <v>0</v>
      </c>
      <c r="S690" s="461">
        <v>0</v>
      </c>
      <c r="T690" s="461">
        <v>0</v>
      </c>
      <c r="U690" s="461">
        <v>0</v>
      </c>
      <c r="V690" s="461">
        <v>0</v>
      </c>
    </row>
    <row r="691" spans="1:22" s="455" customFormat="1" hidden="1">
      <c r="A691" s="455" t="str">
        <f t="shared" si="20"/>
        <v>11629152068221</v>
      </c>
      <c r="B691" s="455">
        <f>VLOOKUP(LEFT($C$3:$C$2600,3),Table!$D$2:$E$88,2,FALSE)</f>
        <v>0</v>
      </c>
      <c r="C691" s="455" t="str">
        <f t="shared" si="21"/>
        <v>9152068221</v>
      </c>
      <c r="D691" s="455" t="e">
        <f>VLOOKUP(G691,Table!$G$3:$H$21,2,FALSE)</f>
        <v>#N/A</v>
      </c>
      <c r="E691" s="452" t="s">
        <v>902</v>
      </c>
      <c r="F691" s="452" t="s">
        <v>1269</v>
      </c>
      <c r="G691" s="452" t="s">
        <v>1272</v>
      </c>
      <c r="H691" s="452" t="s">
        <v>1273</v>
      </c>
      <c r="I691" s="453" t="s">
        <v>844</v>
      </c>
      <c r="J691" s="453">
        <v>7068.4</v>
      </c>
      <c r="K691" s="461">
        <v>268.39999999999998</v>
      </c>
      <c r="L691" s="461">
        <v>6800</v>
      </c>
      <c r="M691" s="461">
        <v>0</v>
      </c>
      <c r="N691" s="461">
        <v>0</v>
      </c>
      <c r="O691" s="461">
        <v>0</v>
      </c>
      <c r="P691" s="461">
        <v>0</v>
      </c>
      <c r="Q691" s="461">
        <v>0</v>
      </c>
      <c r="R691" s="461">
        <v>0</v>
      </c>
      <c r="S691" s="461">
        <v>0</v>
      </c>
      <c r="T691" s="461">
        <v>0</v>
      </c>
      <c r="U691" s="461">
        <v>0</v>
      </c>
      <c r="V691" s="461">
        <v>0</v>
      </c>
    </row>
    <row r="692" spans="1:22" s="455" customFormat="1" hidden="1">
      <c r="A692" s="455" t="str">
        <f t="shared" si="20"/>
        <v>11629152090000</v>
      </c>
      <c r="B692" s="455">
        <f>VLOOKUP(LEFT($C$3:$C$2600,3),Table!$D$2:$E$88,2,FALSE)</f>
        <v>0</v>
      </c>
      <c r="C692" s="455" t="str">
        <f t="shared" si="21"/>
        <v>9152090000</v>
      </c>
      <c r="D692" s="455" t="e">
        <f>VLOOKUP(G692,Table!$G$3:$H$21,2,FALSE)</f>
        <v>#N/A</v>
      </c>
      <c r="E692" s="452" t="s">
        <v>902</v>
      </c>
      <c r="F692" s="452" t="s">
        <v>1269</v>
      </c>
      <c r="G692" s="452" t="s">
        <v>1033</v>
      </c>
      <c r="H692" s="452" t="s">
        <v>1034</v>
      </c>
      <c r="I692" s="453" t="s">
        <v>844</v>
      </c>
      <c r="J692" s="453">
        <v>-6709.99</v>
      </c>
      <c r="K692" s="461">
        <v>0</v>
      </c>
      <c r="L692" s="461">
        <v>0</v>
      </c>
      <c r="M692" s="461">
        <v>0.01</v>
      </c>
      <c r="N692" s="461">
        <v>0</v>
      </c>
      <c r="O692" s="461">
        <v>0</v>
      </c>
      <c r="P692" s="461">
        <v>0</v>
      </c>
      <c r="Q692" s="461">
        <v>0</v>
      </c>
      <c r="R692" s="461">
        <v>0</v>
      </c>
      <c r="S692" s="461">
        <v>0</v>
      </c>
      <c r="T692" s="461">
        <v>0</v>
      </c>
      <c r="U692" s="461">
        <v>0</v>
      </c>
      <c r="V692" s="461">
        <v>0</v>
      </c>
    </row>
    <row r="693" spans="1:22" s="455" customFormat="1" hidden="1">
      <c r="A693" s="455" t="str">
        <f t="shared" si="20"/>
        <v>11629153001000</v>
      </c>
      <c r="B693" s="455">
        <f>VLOOKUP(LEFT($C$3:$C$2600,3),Table!$D$2:$E$88,2,FALSE)</f>
        <v>0</v>
      </c>
      <c r="C693" s="455" t="str">
        <f t="shared" si="21"/>
        <v>9153001000</v>
      </c>
      <c r="D693" s="455" t="e">
        <f>VLOOKUP(G693,Table!$G$3:$H$21,2,FALSE)</f>
        <v>#N/A</v>
      </c>
      <c r="E693" s="452" t="s">
        <v>902</v>
      </c>
      <c r="F693" s="452" t="s">
        <v>1269</v>
      </c>
      <c r="G693" s="452" t="s">
        <v>1043</v>
      </c>
      <c r="H693" s="452" t="s">
        <v>1044</v>
      </c>
      <c r="I693" s="453" t="s">
        <v>844</v>
      </c>
      <c r="J693" s="453">
        <v>46953</v>
      </c>
      <c r="K693" s="461">
        <v>15651</v>
      </c>
      <c r="L693" s="461">
        <v>15651</v>
      </c>
      <c r="M693" s="461">
        <v>15651</v>
      </c>
      <c r="N693" s="461">
        <v>0</v>
      </c>
      <c r="O693" s="461">
        <v>0</v>
      </c>
      <c r="P693" s="461">
        <v>0</v>
      </c>
      <c r="Q693" s="461">
        <v>0</v>
      </c>
      <c r="R693" s="461">
        <v>0</v>
      </c>
      <c r="S693" s="461">
        <v>0</v>
      </c>
      <c r="T693" s="461">
        <v>0</v>
      </c>
      <c r="U693" s="461">
        <v>0</v>
      </c>
      <c r="V693" s="461">
        <v>0</v>
      </c>
    </row>
    <row r="694" spans="1:22" s="455" customFormat="1" hidden="1">
      <c r="A694" s="455" t="str">
        <f t="shared" si="20"/>
        <v>11639101101000</v>
      </c>
      <c r="B694" s="455">
        <f>VLOOKUP(LEFT($C$3:$C$2600,3),Table!$D$2:$E$88,2,FALSE)</f>
        <v>0</v>
      </c>
      <c r="C694" s="455" t="str">
        <f t="shared" si="21"/>
        <v>9101101000</v>
      </c>
      <c r="D694" s="455" t="e">
        <f>VLOOKUP(G694,Table!$G$3:$H$21,2,FALSE)</f>
        <v>#N/A</v>
      </c>
      <c r="E694" s="452" t="s">
        <v>902</v>
      </c>
      <c r="F694" s="452" t="s">
        <v>1274</v>
      </c>
      <c r="G694" s="452" t="s">
        <v>1067</v>
      </c>
      <c r="H694" s="452" t="s">
        <v>1068</v>
      </c>
      <c r="I694" s="453" t="s">
        <v>844</v>
      </c>
      <c r="J694" s="453">
        <v>1998.3</v>
      </c>
      <c r="K694" s="461">
        <v>1998.3</v>
      </c>
      <c r="L694" s="461">
        <v>0</v>
      </c>
      <c r="M694" s="461">
        <v>0</v>
      </c>
      <c r="N694" s="461">
        <v>0</v>
      </c>
      <c r="O694" s="461">
        <v>0</v>
      </c>
      <c r="P694" s="461">
        <v>0</v>
      </c>
      <c r="Q694" s="461">
        <v>0</v>
      </c>
      <c r="R694" s="461">
        <v>0</v>
      </c>
      <c r="S694" s="461">
        <v>0</v>
      </c>
      <c r="T694" s="461">
        <v>0</v>
      </c>
      <c r="U694" s="461">
        <v>0</v>
      </c>
      <c r="V694" s="461">
        <v>0</v>
      </c>
    </row>
    <row r="695" spans="1:22" s="455" customFormat="1" hidden="1">
      <c r="A695" s="455" t="str">
        <f t="shared" si="20"/>
        <v>11639101101100</v>
      </c>
      <c r="B695" s="455">
        <f>VLOOKUP(LEFT($C$3:$C$2600,3),Table!$D$2:$E$88,2,FALSE)</f>
        <v>0</v>
      </c>
      <c r="C695" s="455" t="str">
        <f t="shared" si="21"/>
        <v>9101101100</v>
      </c>
      <c r="D695" s="455" t="e">
        <f>VLOOKUP(G695,Table!$G$3:$H$21,2,FALSE)</f>
        <v>#N/A</v>
      </c>
      <c r="E695" s="452" t="s">
        <v>902</v>
      </c>
      <c r="F695" s="452" t="s">
        <v>1274</v>
      </c>
      <c r="G695" s="452" t="s">
        <v>1069</v>
      </c>
      <c r="H695" s="452" t="s">
        <v>1070</v>
      </c>
      <c r="I695" s="453" t="s">
        <v>844</v>
      </c>
      <c r="J695" s="453">
        <v>915.2</v>
      </c>
      <c r="K695" s="461">
        <v>915.2</v>
      </c>
      <c r="L695" s="461">
        <v>0</v>
      </c>
      <c r="M695" s="461">
        <v>0</v>
      </c>
      <c r="N695" s="461">
        <v>0</v>
      </c>
      <c r="O695" s="461">
        <v>0</v>
      </c>
      <c r="P695" s="461">
        <v>0</v>
      </c>
      <c r="Q695" s="461">
        <v>0</v>
      </c>
      <c r="R695" s="461">
        <v>0</v>
      </c>
      <c r="S695" s="461">
        <v>0</v>
      </c>
      <c r="T695" s="461">
        <v>0</v>
      </c>
      <c r="U695" s="461">
        <v>0</v>
      </c>
      <c r="V695" s="461">
        <v>0</v>
      </c>
    </row>
    <row r="696" spans="1:22" s="455" customFormat="1" hidden="1">
      <c r="A696" s="455" t="str">
        <f t="shared" si="20"/>
        <v>11639101101200</v>
      </c>
      <c r="B696" s="455">
        <f>VLOOKUP(LEFT($C$3:$C$2600,3),Table!$D$2:$E$88,2,FALSE)</f>
        <v>0</v>
      </c>
      <c r="C696" s="455" t="str">
        <f t="shared" si="21"/>
        <v>9101101200</v>
      </c>
      <c r="D696" s="455" t="e">
        <f>VLOOKUP(G696,Table!$G$3:$H$21,2,FALSE)</f>
        <v>#N/A</v>
      </c>
      <c r="E696" s="452" t="s">
        <v>902</v>
      </c>
      <c r="F696" s="452" t="s">
        <v>1274</v>
      </c>
      <c r="G696" s="452" t="s">
        <v>1071</v>
      </c>
      <c r="H696" s="452" t="s">
        <v>1072</v>
      </c>
      <c r="I696" s="453" t="s">
        <v>844</v>
      </c>
      <c r="J696" s="453">
        <v>206.9</v>
      </c>
      <c r="K696" s="461">
        <v>206.9</v>
      </c>
      <c r="L696" s="461">
        <v>0</v>
      </c>
      <c r="M696" s="461">
        <v>0</v>
      </c>
      <c r="N696" s="461">
        <v>0</v>
      </c>
      <c r="O696" s="461">
        <v>0</v>
      </c>
      <c r="P696" s="461">
        <v>0</v>
      </c>
      <c r="Q696" s="461">
        <v>0</v>
      </c>
      <c r="R696" s="461">
        <v>0</v>
      </c>
      <c r="S696" s="461">
        <v>0</v>
      </c>
      <c r="T696" s="461">
        <v>0</v>
      </c>
      <c r="U696" s="461">
        <v>0</v>
      </c>
      <c r="V696" s="461">
        <v>0</v>
      </c>
    </row>
    <row r="697" spans="1:22" s="455" customFormat="1" hidden="1">
      <c r="A697" s="455" t="str">
        <f t="shared" si="20"/>
        <v>11639101101400</v>
      </c>
      <c r="B697" s="455">
        <f>VLOOKUP(LEFT($C$3:$C$2600,3),Table!$D$2:$E$88,2,FALSE)</f>
        <v>0</v>
      </c>
      <c r="C697" s="455" t="str">
        <f t="shared" si="21"/>
        <v>9101101400</v>
      </c>
      <c r="D697" s="455" t="e">
        <f>VLOOKUP(G697,Table!$G$3:$H$21,2,FALSE)</f>
        <v>#N/A</v>
      </c>
      <c r="E697" s="452" t="s">
        <v>902</v>
      </c>
      <c r="F697" s="452" t="s">
        <v>1274</v>
      </c>
      <c r="G697" s="452" t="s">
        <v>1075</v>
      </c>
      <c r="H697" s="452" t="s">
        <v>1076</v>
      </c>
      <c r="I697" s="453" t="s">
        <v>844</v>
      </c>
      <c r="J697" s="453">
        <v>335</v>
      </c>
      <c r="K697" s="461">
        <v>335</v>
      </c>
      <c r="L697" s="461">
        <v>0</v>
      </c>
      <c r="M697" s="461">
        <v>0</v>
      </c>
      <c r="N697" s="461">
        <v>0</v>
      </c>
      <c r="O697" s="461">
        <v>0</v>
      </c>
      <c r="P697" s="461">
        <v>0</v>
      </c>
      <c r="Q697" s="461">
        <v>0</v>
      </c>
      <c r="R697" s="461">
        <v>0</v>
      </c>
      <c r="S697" s="461">
        <v>0</v>
      </c>
      <c r="T697" s="461">
        <v>0</v>
      </c>
      <c r="U697" s="461">
        <v>0</v>
      </c>
      <c r="V697" s="461">
        <v>0</v>
      </c>
    </row>
    <row r="698" spans="1:22" s="455" customFormat="1" hidden="1">
      <c r="A698" s="455" t="str">
        <f t="shared" si="20"/>
        <v>11639101101500</v>
      </c>
      <c r="B698" s="455">
        <f>VLOOKUP(LEFT($C$3:$C$2600,3),Table!$D$2:$E$88,2,FALSE)</f>
        <v>0</v>
      </c>
      <c r="C698" s="455" t="str">
        <f t="shared" si="21"/>
        <v>9101101500</v>
      </c>
      <c r="D698" s="455" t="e">
        <f>VLOOKUP(G698,Table!$G$3:$H$21,2,FALSE)</f>
        <v>#N/A</v>
      </c>
      <c r="E698" s="452" t="s">
        <v>902</v>
      </c>
      <c r="F698" s="452" t="s">
        <v>1274</v>
      </c>
      <c r="G698" s="452" t="s">
        <v>1079</v>
      </c>
      <c r="H698" s="452" t="s">
        <v>1080</v>
      </c>
      <c r="I698" s="453" t="s">
        <v>844</v>
      </c>
      <c r="J698" s="453">
        <v>51.65</v>
      </c>
      <c r="K698" s="461">
        <v>51.65</v>
      </c>
      <c r="L698" s="461">
        <v>0</v>
      </c>
      <c r="M698" s="461">
        <v>0</v>
      </c>
      <c r="N698" s="461">
        <v>0</v>
      </c>
      <c r="O698" s="461">
        <v>0</v>
      </c>
      <c r="P698" s="461">
        <v>0</v>
      </c>
      <c r="Q698" s="461">
        <v>0</v>
      </c>
      <c r="R698" s="461">
        <v>0</v>
      </c>
      <c r="S698" s="461">
        <v>0</v>
      </c>
      <c r="T698" s="461">
        <v>0</v>
      </c>
      <c r="U698" s="461">
        <v>0</v>
      </c>
      <c r="V698" s="461">
        <v>0</v>
      </c>
    </row>
    <row r="699" spans="1:22" s="455" customFormat="1" hidden="1">
      <c r="A699" s="455" t="str">
        <f t="shared" si="20"/>
        <v>11639101101600</v>
      </c>
      <c r="B699" s="455">
        <f>VLOOKUP(LEFT($C$3:$C$2600,3),Table!$D$2:$E$88,2,FALSE)</f>
        <v>0</v>
      </c>
      <c r="C699" s="455" t="str">
        <f t="shared" si="21"/>
        <v>9101101600</v>
      </c>
      <c r="D699" s="455" t="e">
        <f>VLOOKUP(G699,Table!$G$3:$H$21,2,FALSE)</f>
        <v>#N/A</v>
      </c>
      <c r="E699" s="452" t="s">
        <v>902</v>
      </c>
      <c r="F699" s="452" t="s">
        <v>1274</v>
      </c>
      <c r="G699" s="452" t="s">
        <v>1081</v>
      </c>
      <c r="H699" s="452" t="s">
        <v>1082</v>
      </c>
      <c r="I699" s="453" t="s">
        <v>844</v>
      </c>
      <c r="J699" s="453">
        <v>455.94</v>
      </c>
      <c r="K699" s="461">
        <v>455.94</v>
      </c>
      <c r="L699" s="461">
        <v>0</v>
      </c>
      <c r="M699" s="461">
        <v>0</v>
      </c>
      <c r="N699" s="461">
        <v>0</v>
      </c>
      <c r="O699" s="461">
        <v>0</v>
      </c>
      <c r="P699" s="461">
        <v>0</v>
      </c>
      <c r="Q699" s="461">
        <v>0</v>
      </c>
      <c r="R699" s="461">
        <v>0</v>
      </c>
      <c r="S699" s="461">
        <v>0</v>
      </c>
      <c r="T699" s="461">
        <v>0</v>
      </c>
      <c r="U699" s="461">
        <v>0</v>
      </c>
      <c r="V699" s="461">
        <v>0</v>
      </c>
    </row>
    <row r="700" spans="1:22" s="455" customFormat="1" hidden="1">
      <c r="A700" s="455" t="str">
        <f t="shared" si="20"/>
        <v>11639101101800</v>
      </c>
      <c r="B700" s="455">
        <f>VLOOKUP(LEFT($C$3:$C$2600,3),Table!$D$2:$E$88,2,FALSE)</f>
        <v>0</v>
      </c>
      <c r="C700" s="455" t="str">
        <f t="shared" si="21"/>
        <v>9101101800</v>
      </c>
      <c r="D700" s="455" t="e">
        <f>VLOOKUP(G700,Table!$G$3:$H$21,2,FALSE)</f>
        <v>#N/A</v>
      </c>
      <c r="E700" s="452" t="s">
        <v>902</v>
      </c>
      <c r="F700" s="452" t="s">
        <v>1274</v>
      </c>
      <c r="G700" s="452" t="s">
        <v>1085</v>
      </c>
      <c r="H700" s="452" t="s">
        <v>1086</v>
      </c>
      <c r="I700" s="453" t="s">
        <v>844</v>
      </c>
      <c r="J700" s="453">
        <v>86.7</v>
      </c>
      <c r="K700" s="461">
        <v>86.7</v>
      </c>
      <c r="L700" s="461">
        <v>0</v>
      </c>
      <c r="M700" s="461">
        <v>0</v>
      </c>
      <c r="N700" s="461">
        <v>0</v>
      </c>
      <c r="O700" s="461">
        <v>0</v>
      </c>
      <c r="P700" s="461">
        <v>0</v>
      </c>
      <c r="Q700" s="461">
        <v>0</v>
      </c>
      <c r="R700" s="461">
        <v>0</v>
      </c>
      <c r="S700" s="461">
        <v>0</v>
      </c>
      <c r="T700" s="461">
        <v>0</v>
      </c>
      <c r="U700" s="461">
        <v>0</v>
      </c>
      <c r="V700" s="461">
        <v>0</v>
      </c>
    </row>
    <row r="701" spans="1:22" s="455" customFormat="1" hidden="1">
      <c r="A701" s="455" t="str">
        <f t="shared" si="20"/>
        <v>11639101101900</v>
      </c>
      <c r="B701" s="455">
        <f>VLOOKUP(LEFT($C$3:$C$2600,3),Table!$D$2:$E$88,2,FALSE)</f>
        <v>0</v>
      </c>
      <c r="C701" s="455" t="str">
        <f t="shared" si="21"/>
        <v>9101101900</v>
      </c>
      <c r="D701" s="455" t="e">
        <f>VLOOKUP(G701,Table!$G$3:$H$21,2,FALSE)</f>
        <v>#N/A</v>
      </c>
      <c r="E701" s="452" t="s">
        <v>902</v>
      </c>
      <c r="F701" s="452" t="s">
        <v>1274</v>
      </c>
      <c r="G701" s="452" t="s">
        <v>1087</v>
      </c>
      <c r="H701" s="452" t="s">
        <v>1088</v>
      </c>
      <c r="I701" s="453" t="s">
        <v>844</v>
      </c>
      <c r="J701" s="453">
        <v>22.28</v>
      </c>
      <c r="K701" s="461">
        <v>22.28</v>
      </c>
      <c r="L701" s="461">
        <v>0</v>
      </c>
      <c r="M701" s="461">
        <v>0</v>
      </c>
      <c r="N701" s="461">
        <v>0</v>
      </c>
      <c r="O701" s="461">
        <v>0</v>
      </c>
      <c r="P701" s="461">
        <v>0</v>
      </c>
      <c r="Q701" s="461">
        <v>0</v>
      </c>
      <c r="R701" s="461">
        <v>0</v>
      </c>
      <c r="S701" s="461">
        <v>0</v>
      </c>
      <c r="T701" s="461">
        <v>0</v>
      </c>
      <c r="U701" s="461">
        <v>0</v>
      </c>
      <c r="V701" s="461">
        <v>0</v>
      </c>
    </row>
    <row r="702" spans="1:22" s="455" customFormat="1" hidden="1">
      <c r="A702" s="455" t="str">
        <f t="shared" si="20"/>
        <v>11639101201000</v>
      </c>
      <c r="B702" s="455">
        <f>VLOOKUP(LEFT($C$3:$C$2600,3),Table!$D$2:$E$88,2,FALSE)</f>
        <v>0</v>
      </c>
      <c r="C702" s="455" t="str">
        <f t="shared" si="21"/>
        <v>9101201000</v>
      </c>
      <c r="D702" s="455" t="e">
        <f>VLOOKUP(G702,Table!$G$3:$H$21,2,FALSE)</f>
        <v>#N/A</v>
      </c>
      <c r="E702" s="452" t="s">
        <v>902</v>
      </c>
      <c r="F702" s="452" t="s">
        <v>1274</v>
      </c>
      <c r="G702" s="452" t="s">
        <v>1091</v>
      </c>
      <c r="H702" s="452" t="s">
        <v>1092</v>
      </c>
      <c r="I702" s="453" t="s">
        <v>844</v>
      </c>
      <c r="J702" s="453">
        <v>1258</v>
      </c>
      <c r="K702" s="461">
        <v>1258</v>
      </c>
      <c r="L702" s="461">
        <v>0</v>
      </c>
      <c r="M702" s="461">
        <v>0</v>
      </c>
      <c r="N702" s="461">
        <v>0</v>
      </c>
      <c r="O702" s="461">
        <v>0</v>
      </c>
      <c r="P702" s="461">
        <v>0</v>
      </c>
      <c r="Q702" s="461">
        <v>0</v>
      </c>
      <c r="R702" s="461">
        <v>0</v>
      </c>
      <c r="S702" s="461">
        <v>0</v>
      </c>
      <c r="T702" s="461">
        <v>0</v>
      </c>
      <c r="U702" s="461">
        <v>0</v>
      </c>
      <c r="V702" s="461">
        <v>0</v>
      </c>
    </row>
    <row r="703" spans="1:22" s="455" customFormat="1" hidden="1">
      <c r="A703" s="455" t="str">
        <f t="shared" si="20"/>
        <v>11649101101000</v>
      </c>
      <c r="B703" s="455">
        <f>VLOOKUP(LEFT($C$3:$C$2600,3),Table!$D$2:$E$88,2,FALSE)</f>
        <v>0</v>
      </c>
      <c r="C703" s="455" t="str">
        <f t="shared" si="21"/>
        <v>9101101000</v>
      </c>
      <c r="D703" s="455" t="e">
        <f>VLOOKUP(G703,Table!$G$3:$H$21,2,FALSE)</f>
        <v>#N/A</v>
      </c>
      <c r="E703" s="452" t="s">
        <v>902</v>
      </c>
      <c r="F703" s="452" t="s">
        <v>1275</v>
      </c>
      <c r="G703" s="452" t="s">
        <v>1067</v>
      </c>
      <c r="H703" s="452" t="s">
        <v>1068</v>
      </c>
      <c r="I703" s="453" t="s">
        <v>844</v>
      </c>
      <c r="J703" s="453">
        <v>4433.54</v>
      </c>
      <c r="K703" s="461">
        <v>4433.54</v>
      </c>
      <c r="L703" s="461">
        <v>0</v>
      </c>
      <c r="M703" s="461">
        <v>0</v>
      </c>
      <c r="N703" s="461">
        <v>0</v>
      </c>
      <c r="O703" s="461">
        <v>0</v>
      </c>
      <c r="P703" s="461">
        <v>0</v>
      </c>
      <c r="Q703" s="461">
        <v>0</v>
      </c>
      <c r="R703" s="461">
        <v>0</v>
      </c>
      <c r="S703" s="461">
        <v>0</v>
      </c>
      <c r="T703" s="461">
        <v>0</v>
      </c>
      <c r="U703" s="461">
        <v>0</v>
      </c>
      <c r="V703" s="461">
        <v>0</v>
      </c>
    </row>
    <row r="704" spans="1:22" s="455" customFormat="1" hidden="1">
      <c r="A704" s="455" t="str">
        <f t="shared" si="20"/>
        <v>11649101101100</v>
      </c>
      <c r="B704" s="455">
        <f>VLOOKUP(LEFT($C$3:$C$2600,3),Table!$D$2:$E$88,2,FALSE)</f>
        <v>0</v>
      </c>
      <c r="C704" s="455" t="str">
        <f t="shared" si="21"/>
        <v>9101101100</v>
      </c>
      <c r="D704" s="455" t="e">
        <f>VLOOKUP(G704,Table!$G$3:$H$21,2,FALSE)</f>
        <v>#N/A</v>
      </c>
      <c r="E704" s="452" t="s">
        <v>902</v>
      </c>
      <c r="F704" s="452" t="s">
        <v>1275</v>
      </c>
      <c r="G704" s="452" t="s">
        <v>1069</v>
      </c>
      <c r="H704" s="452" t="s">
        <v>1070</v>
      </c>
      <c r="I704" s="453" t="s">
        <v>844</v>
      </c>
      <c r="J704" s="453">
        <v>2891.06</v>
      </c>
      <c r="K704" s="461">
        <v>2891.06</v>
      </c>
      <c r="L704" s="461">
        <v>0</v>
      </c>
      <c r="M704" s="461">
        <v>0</v>
      </c>
      <c r="N704" s="461">
        <v>0</v>
      </c>
      <c r="O704" s="461">
        <v>0</v>
      </c>
      <c r="P704" s="461">
        <v>0</v>
      </c>
      <c r="Q704" s="461">
        <v>0</v>
      </c>
      <c r="R704" s="461">
        <v>0</v>
      </c>
      <c r="S704" s="461">
        <v>0</v>
      </c>
      <c r="T704" s="461">
        <v>0</v>
      </c>
      <c r="U704" s="461">
        <v>0</v>
      </c>
      <c r="V704" s="461">
        <v>0</v>
      </c>
    </row>
    <row r="705" spans="1:22" s="455" customFormat="1" hidden="1">
      <c r="A705" s="455" t="str">
        <f t="shared" si="20"/>
        <v>11649101101200</v>
      </c>
      <c r="B705" s="455">
        <f>VLOOKUP(LEFT($C$3:$C$2600,3),Table!$D$2:$E$88,2,FALSE)</f>
        <v>0</v>
      </c>
      <c r="C705" s="455" t="str">
        <f t="shared" si="21"/>
        <v>9101101200</v>
      </c>
      <c r="D705" s="455" t="e">
        <f>VLOOKUP(G705,Table!$G$3:$H$21,2,FALSE)</f>
        <v>#N/A</v>
      </c>
      <c r="E705" s="452" t="s">
        <v>902</v>
      </c>
      <c r="F705" s="452" t="s">
        <v>1275</v>
      </c>
      <c r="G705" s="452" t="s">
        <v>1071</v>
      </c>
      <c r="H705" s="452" t="s">
        <v>1072</v>
      </c>
      <c r="I705" s="453" t="s">
        <v>844</v>
      </c>
      <c r="J705" s="453">
        <v>485.36</v>
      </c>
      <c r="K705" s="461">
        <v>485.36</v>
      </c>
      <c r="L705" s="461">
        <v>0</v>
      </c>
      <c r="M705" s="461">
        <v>0</v>
      </c>
      <c r="N705" s="461">
        <v>0</v>
      </c>
      <c r="O705" s="461">
        <v>0</v>
      </c>
      <c r="P705" s="461">
        <v>0</v>
      </c>
      <c r="Q705" s="461">
        <v>0</v>
      </c>
      <c r="R705" s="461">
        <v>0</v>
      </c>
      <c r="S705" s="461">
        <v>0</v>
      </c>
      <c r="T705" s="461">
        <v>0</v>
      </c>
      <c r="U705" s="461">
        <v>0</v>
      </c>
      <c r="V705" s="461">
        <v>0</v>
      </c>
    </row>
    <row r="706" spans="1:22" s="455" customFormat="1" hidden="1">
      <c r="A706" s="455" t="str">
        <f t="shared" si="20"/>
        <v>11649101101400</v>
      </c>
      <c r="B706" s="455">
        <f>VLOOKUP(LEFT($C$3:$C$2600,3),Table!$D$2:$E$88,2,FALSE)</f>
        <v>0</v>
      </c>
      <c r="C706" s="455" t="str">
        <f t="shared" si="21"/>
        <v>9101101400</v>
      </c>
      <c r="D706" s="455" t="e">
        <f>VLOOKUP(G706,Table!$G$3:$H$21,2,FALSE)</f>
        <v>#N/A</v>
      </c>
      <c r="E706" s="452" t="s">
        <v>902</v>
      </c>
      <c r="F706" s="452" t="s">
        <v>1275</v>
      </c>
      <c r="G706" s="452" t="s">
        <v>1075</v>
      </c>
      <c r="H706" s="452" t="s">
        <v>1076</v>
      </c>
      <c r="I706" s="453" t="s">
        <v>844</v>
      </c>
      <c r="J706" s="453">
        <v>744</v>
      </c>
      <c r="K706" s="461">
        <v>744</v>
      </c>
      <c r="L706" s="461">
        <v>0</v>
      </c>
      <c r="M706" s="461">
        <v>0</v>
      </c>
      <c r="N706" s="461">
        <v>0</v>
      </c>
      <c r="O706" s="461">
        <v>0</v>
      </c>
      <c r="P706" s="461">
        <v>0</v>
      </c>
      <c r="Q706" s="461">
        <v>0</v>
      </c>
      <c r="R706" s="461">
        <v>0</v>
      </c>
      <c r="S706" s="461">
        <v>0</v>
      </c>
      <c r="T706" s="461">
        <v>0</v>
      </c>
      <c r="U706" s="461">
        <v>0</v>
      </c>
      <c r="V706" s="461">
        <v>0</v>
      </c>
    </row>
    <row r="707" spans="1:22" s="455" customFormat="1" hidden="1">
      <c r="A707" s="455" t="str">
        <f t="shared" si="20"/>
        <v>11649101101410</v>
      </c>
      <c r="B707" s="455">
        <f>VLOOKUP(LEFT($C$3:$C$2600,3),Table!$D$2:$E$88,2,FALSE)</f>
        <v>0</v>
      </c>
      <c r="C707" s="455" t="str">
        <f t="shared" si="21"/>
        <v>9101101410</v>
      </c>
      <c r="D707" s="455" t="e">
        <f>VLOOKUP(G707,Table!$G$3:$H$21,2,FALSE)</f>
        <v>#N/A</v>
      </c>
      <c r="E707" s="452" t="s">
        <v>902</v>
      </c>
      <c r="F707" s="452" t="s">
        <v>1275</v>
      </c>
      <c r="G707" s="452" t="s">
        <v>1077</v>
      </c>
      <c r="H707" s="452" t="s">
        <v>1078</v>
      </c>
      <c r="I707" s="453" t="s">
        <v>844</v>
      </c>
      <c r="J707" s="453">
        <v>45</v>
      </c>
      <c r="K707" s="461">
        <v>45</v>
      </c>
      <c r="L707" s="461">
        <v>0</v>
      </c>
      <c r="M707" s="461">
        <v>0</v>
      </c>
      <c r="N707" s="461">
        <v>0</v>
      </c>
      <c r="O707" s="461">
        <v>0</v>
      </c>
      <c r="P707" s="461">
        <v>0</v>
      </c>
      <c r="Q707" s="461">
        <v>0</v>
      </c>
      <c r="R707" s="461">
        <v>0</v>
      </c>
      <c r="S707" s="461">
        <v>0</v>
      </c>
      <c r="T707" s="461">
        <v>0</v>
      </c>
      <c r="U707" s="461">
        <v>0</v>
      </c>
      <c r="V707" s="461">
        <v>0</v>
      </c>
    </row>
    <row r="708" spans="1:22" s="455" customFormat="1" hidden="1">
      <c r="A708" s="455" t="str">
        <f t="shared" ref="A708:A771" si="22">F708&amp;G708</f>
        <v>11649101101500</v>
      </c>
      <c r="B708" s="455">
        <f>VLOOKUP(LEFT($C$3:$C$2600,3),Table!$D$2:$E$88,2,FALSE)</f>
        <v>0</v>
      </c>
      <c r="C708" s="455" t="str">
        <f t="shared" ref="C708:C771" si="23">IF(ISNA(D708),G708,D708)</f>
        <v>9101101500</v>
      </c>
      <c r="D708" s="455" t="e">
        <f>VLOOKUP(G708,Table!$G$3:$H$21,2,FALSE)</f>
        <v>#N/A</v>
      </c>
      <c r="E708" s="452" t="s">
        <v>902</v>
      </c>
      <c r="F708" s="452" t="s">
        <v>1275</v>
      </c>
      <c r="G708" s="452" t="s">
        <v>1079</v>
      </c>
      <c r="H708" s="452" t="s">
        <v>1080</v>
      </c>
      <c r="I708" s="453" t="s">
        <v>844</v>
      </c>
      <c r="J708" s="453">
        <v>128.65</v>
      </c>
      <c r="K708" s="461">
        <v>128.65</v>
      </c>
      <c r="L708" s="461">
        <v>0</v>
      </c>
      <c r="M708" s="461">
        <v>0</v>
      </c>
      <c r="N708" s="461">
        <v>0</v>
      </c>
      <c r="O708" s="461">
        <v>0</v>
      </c>
      <c r="P708" s="461">
        <v>0</v>
      </c>
      <c r="Q708" s="461">
        <v>0</v>
      </c>
      <c r="R708" s="461">
        <v>0</v>
      </c>
      <c r="S708" s="461">
        <v>0</v>
      </c>
      <c r="T708" s="461">
        <v>0</v>
      </c>
      <c r="U708" s="461">
        <v>0</v>
      </c>
      <c r="V708" s="461">
        <v>0</v>
      </c>
    </row>
    <row r="709" spans="1:22" s="455" customFormat="1" hidden="1">
      <c r="A709" s="455" t="str">
        <f t="shared" si="22"/>
        <v>11649101101600</v>
      </c>
      <c r="B709" s="455">
        <f>VLOOKUP(LEFT($C$3:$C$2600,3),Table!$D$2:$E$88,2,FALSE)</f>
        <v>0</v>
      </c>
      <c r="C709" s="455" t="str">
        <f t="shared" si="23"/>
        <v>9101101600</v>
      </c>
      <c r="D709" s="455" t="e">
        <f>VLOOKUP(G709,Table!$G$3:$H$21,2,FALSE)</f>
        <v>#N/A</v>
      </c>
      <c r="E709" s="452" t="s">
        <v>902</v>
      </c>
      <c r="F709" s="452" t="s">
        <v>1275</v>
      </c>
      <c r="G709" s="452" t="s">
        <v>1081</v>
      </c>
      <c r="H709" s="452" t="s">
        <v>1082</v>
      </c>
      <c r="I709" s="453" t="s">
        <v>844</v>
      </c>
      <c r="J709" s="453">
        <v>1017.89</v>
      </c>
      <c r="K709" s="461">
        <v>1017.89</v>
      </c>
      <c r="L709" s="461">
        <v>0</v>
      </c>
      <c r="M709" s="461">
        <v>0</v>
      </c>
      <c r="N709" s="461">
        <v>0</v>
      </c>
      <c r="O709" s="461">
        <v>0</v>
      </c>
      <c r="P709" s="461">
        <v>0</v>
      </c>
      <c r="Q709" s="461">
        <v>0</v>
      </c>
      <c r="R709" s="461">
        <v>0</v>
      </c>
      <c r="S709" s="461">
        <v>0</v>
      </c>
      <c r="T709" s="461">
        <v>0</v>
      </c>
      <c r="U709" s="461">
        <v>0</v>
      </c>
      <c r="V709" s="461">
        <v>0</v>
      </c>
    </row>
    <row r="710" spans="1:22" s="455" customFormat="1" hidden="1">
      <c r="A710" s="455" t="str">
        <f t="shared" si="22"/>
        <v>11649101101700</v>
      </c>
      <c r="B710" s="455">
        <f>VLOOKUP(LEFT($C$3:$C$2600,3),Table!$D$2:$E$88,2,FALSE)</f>
        <v>0</v>
      </c>
      <c r="C710" s="455" t="str">
        <f t="shared" si="23"/>
        <v>9101101700</v>
      </c>
      <c r="D710" s="455" t="e">
        <f>VLOOKUP(G710,Table!$G$3:$H$21,2,FALSE)</f>
        <v>#N/A</v>
      </c>
      <c r="E710" s="452" t="s">
        <v>902</v>
      </c>
      <c r="F710" s="452" t="s">
        <v>1275</v>
      </c>
      <c r="G710" s="452" t="s">
        <v>1083</v>
      </c>
      <c r="H710" s="452" t="s">
        <v>1084</v>
      </c>
      <c r="I710" s="453" t="s">
        <v>844</v>
      </c>
      <c r="J710" s="453">
        <v>170.57</v>
      </c>
      <c r="K710" s="461">
        <v>170.57</v>
      </c>
      <c r="L710" s="461">
        <v>0</v>
      </c>
      <c r="M710" s="461">
        <v>0</v>
      </c>
      <c r="N710" s="461">
        <v>0</v>
      </c>
      <c r="O710" s="461">
        <v>0</v>
      </c>
      <c r="P710" s="461">
        <v>0</v>
      </c>
      <c r="Q710" s="461">
        <v>0</v>
      </c>
      <c r="R710" s="461">
        <v>0</v>
      </c>
      <c r="S710" s="461">
        <v>0</v>
      </c>
      <c r="T710" s="461">
        <v>0</v>
      </c>
      <c r="U710" s="461">
        <v>0</v>
      </c>
      <c r="V710" s="461">
        <v>0</v>
      </c>
    </row>
    <row r="711" spans="1:22" s="455" customFormat="1" hidden="1">
      <c r="A711" s="455" t="str">
        <f t="shared" si="22"/>
        <v>11649101101800</v>
      </c>
      <c r="B711" s="455">
        <f>VLOOKUP(LEFT($C$3:$C$2600,3),Table!$D$2:$E$88,2,FALSE)</f>
        <v>0</v>
      </c>
      <c r="C711" s="455" t="str">
        <f t="shared" si="23"/>
        <v>9101101800</v>
      </c>
      <c r="D711" s="455" t="e">
        <f>VLOOKUP(G711,Table!$G$3:$H$21,2,FALSE)</f>
        <v>#N/A</v>
      </c>
      <c r="E711" s="452" t="s">
        <v>902</v>
      </c>
      <c r="F711" s="452" t="s">
        <v>1275</v>
      </c>
      <c r="G711" s="452" t="s">
        <v>1085</v>
      </c>
      <c r="H711" s="452" t="s">
        <v>1086</v>
      </c>
      <c r="I711" s="453" t="s">
        <v>844</v>
      </c>
      <c r="J711" s="453">
        <v>416.3</v>
      </c>
      <c r="K711" s="461">
        <v>416.3</v>
      </c>
      <c r="L711" s="461">
        <v>0</v>
      </c>
      <c r="M711" s="461">
        <v>0</v>
      </c>
      <c r="N711" s="461">
        <v>0</v>
      </c>
      <c r="O711" s="461">
        <v>0</v>
      </c>
      <c r="P711" s="461">
        <v>0</v>
      </c>
      <c r="Q711" s="461">
        <v>0</v>
      </c>
      <c r="R711" s="461">
        <v>0</v>
      </c>
      <c r="S711" s="461">
        <v>0</v>
      </c>
      <c r="T711" s="461">
        <v>0</v>
      </c>
      <c r="U711" s="461">
        <v>0</v>
      </c>
      <c r="V711" s="461">
        <v>0</v>
      </c>
    </row>
    <row r="712" spans="1:22" s="455" customFormat="1" hidden="1">
      <c r="A712" s="455" t="str">
        <f t="shared" si="22"/>
        <v>11649101101900</v>
      </c>
      <c r="B712" s="455">
        <f>VLOOKUP(LEFT($C$3:$C$2600,3),Table!$D$2:$E$88,2,FALSE)</f>
        <v>0</v>
      </c>
      <c r="C712" s="455" t="str">
        <f t="shared" si="23"/>
        <v>9101101900</v>
      </c>
      <c r="D712" s="455" t="e">
        <f>VLOOKUP(G712,Table!$G$3:$H$21,2,FALSE)</f>
        <v>#N/A</v>
      </c>
      <c r="E712" s="452" t="s">
        <v>902</v>
      </c>
      <c r="F712" s="452" t="s">
        <v>1275</v>
      </c>
      <c r="G712" s="452" t="s">
        <v>1087</v>
      </c>
      <c r="H712" s="452" t="s">
        <v>1088</v>
      </c>
      <c r="I712" s="453" t="s">
        <v>844</v>
      </c>
      <c r="J712" s="453">
        <v>49.31</v>
      </c>
      <c r="K712" s="461">
        <v>49.31</v>
      </c>
      <c r="L712" s="461">
        <v>0</v>
      </c>
      <c r="M712" s="461">
        <v>0</v>
      </c>
      <c r="N712" s="461">
        <v>0</v>
      </c>
      <c r="O712" s="461">
        <v>0</v>
      </c>
      <c r="P712" s="461">
        <v>0</v>
      </c>
      <c r="Q712" s="461">
        <v>0</v>
      </c>
      <c r="R712" s="461">
        <v>0</v>
      </c>
      <c r="S712" s="461">
        <v>0</v>
      </c>
      <c r="T712" s="461">
        <v>0</v>
      </c>
      <c r="U712" s="461">
        <v>0</v>
      </c>
      <c r="V712" s="461">
        <v>0</v>
      </c>
    </row>
    <row r="713" spans="1:22" s="455" customFormat="1" hidden="1">
      <c r="A713" s="455" t="str">
        <f t="shared" si="22"/>
        <v>11649101201000</v>
      </c>
      <c r="B713" s="455">
        <f>VLOOKUP(LEFT($C$3:$C$2600,3),Table!$D$2:$E$88,2,FALSE)</f>
        <v>0</v>
      </c>
      <c r="C713" s="455" t="str">
        <f t="shared" si="23"/>
        <v>9101201000</v>
      </c>
      <c r="D713" s="455" t="e">
        <f>VLOOKUP(G713,Table!$G$3:$H$21,2,FALSE)</f>
        <v>#N/A</v>
      </c>
      <c r="E713" s="452" t="s">
        <v>902</v>
      </c>
      <c r="F713" s="452" t="s">
        <v>1275</v>
      </c>
      <c r="G713" s="452" t="s">
        <v>1091</v>
      </c>
      <c r="H713" s="452" t="s">
        <v>1092</v>
      </c>
      <c r="I713" s="453" t="s">
        <v>844</v>
      </c>
      <c r="J713" s="453">
        <v>1644</v>
      </c>
      <c r="K713" s="461">
        <v>1644</v>
      </c>
      <c r="L713" s="461">
        <v>0</v>
      </c>
      <c r="M713" s="461">
        <v>0</v>
      </c>
      <c r="N713" s="461">
        <v>0</v>
      </c>
      <c r="O713" s="461">
        <v>0</v>
      </c>
      <c r="P713" s="461">
        <v>0</v>
      </c>
      <c r="Q713" s="461">
        <v>0</v>
      </c>
      <c r="R713" s="461">
        <v>0</v>
      </c>
      <c r="S713" s="461">
        <v>0</v>
      </c>
      <c r="T713" s="461">
        <v>0</v>
      </c>
      <c r="U713" s="461">
        <v>0</v>
      </c>
      <c r="V713" s="461">
        <v>0</v>
      </c>
    </row>
    <row r="714" spans="1:22" s="455" customFormat="1" hidden="1">
      <c r="A714" s="455" t="str">
        <f t="shared" si="22"/>
        <v>11649101302500</v>
      </c>
      <c r="B714" s="455">
        <f>VLOOKUP(LEFT($C$3:$C$2600,3),Table!$D$2:$E$88,2,FALSE)</f>
        <v>0</v>
      </c>
      <c r="C714" s="455" t="str">
        <f t="shared" si="23"/>
        <v>9101302500</v>
      </c>
      <c r="D714" s="455" t="e">
        <f>VLOOKUP(G714,Table!$G$3:$H$21,2,FALSE)</f>
        <v>#N/A</v>
      </c>
      <c r="E714" s="452" t="s">
        <v>902</v>
      </c>
      <c r="F714" s="452" t="s">
        <v>1275</v>
      </c>
      <c r="G714" s="452" t="s">
        <v>973</v>
      </c>
      <c r="H714" s="452" t="s">
        <v>974</v>
      </c>
      <c r="I714" s="453" t="s">
        <v>844</v>
      </c>
      <c r="J714" s="453">
        <v>10096.27</v>
      </c>
      <c r="K714" s="461">
        <v>6419.77</v>
      </c>
      <c r="L714" s="461">
        <v>3315</v>
      </c>
      <c r="M714" s="461">
        <v>361.5</v>
      </c>
      <c r="N714" s="461">
        <v>0</v>
      </c>
      <c r="O714" s="461">
        <v>0</v>
      </c>
      <c r="P714" s="461">
        <v>0</v>
      </c>
      <c r="Q714" s="461">
        <v>0</v>
      </c>
      <c r="R714" s="461">
        <v>0</v>
      </c>
      <c r="S714" s="461">
        <v>0</v>
      </c>
      <c r="T714" s="461">
        <v>0</v>
      </c>
      <c r="U714" s="461">
        <v>0</v>
      </c>
      <c r="V714" s="461">
        <v>0</v>
      </c>
    </row>
    <row r="715" spans="1:22" s="455" customFormat="1" hidden="1">
      <c r="A715" s="455" t="str">
        <f t="shared" si="22"/>
        <v>11649101303600</v>
      </c>
      <c r="B715" s="455">
        <f>VLOOKUP(LEFT($C$3:$C$2600,3),Table!$D$2:$E$88,2,FALSE)</f>
        <v>0</v>
      </c>
      <c r="C715" s="455" t="str">
        <f t="shared" si="23"/>
        <v>9101303600</v>
      </c>
      <c r="D715" s="455" t="e">
        <f>VLOOKUP(G715,Table!$G$3:$H$21,2,FALSE)</f>
        <v>#N/A</v>
      </c>
      <c r="E715" s="452" t="s">
        <v>902</v>
      </c>
      <c r="F715" s="452" t="s">
        <v>1275</v>
      </c>
      <c r="G715" s="452" t="s">
        <v>1193</v>
      </c>
      <c r="H715" s="452" t="s">
        <v>1194</v>
      </c>
      <c r="I715" s="453" t="s">
        <v>844</v>
      </c>
      <c r="J715" s="453">
        <v>49337.5</v>
      </c>
      <c r="K715" s="461">
        <v>28680</v>
      </c>
      <c r="L715" s="461">
        <v>7745.5</v>
      </c>
      <c r="M715" s="461">
        <v>12912</v>
      </c>
      <c r="N715" s="461">
        <v>0</v>
      </c>
      <c r="O715" s="461">
        <v>0</v>
      </c>
      <c r="P715" s="461">
        <v>0</v>
      </c>
      <c r="Q715" s="461">
        <v>0</v>
      </c>
      <c r="R715" s="461">
        <v>0</v>
      </c>
      <c r="S715" s="461">
        <v>0</v>
      </c>
      <c r="T715" s="461">
        <v>0</v>
      </c>
      <c r="U715" s="461">
        <v>0</v>
      </c>
      <c r="V715" s="461">
        <v>0</v>
      </c>
    </row>
    <row r="716" spans="1:22" s="455" customFormat="1" hidden="1">
      <c r="A716" s="455" t="str">
        <f t="shared" si="22"/>
        <v>11649152020212</v>
      </c>
      <c r="B716" s="455">
        <f>VLOOKUP(LEFT($C$3:$C$2600,3),Table!$D$2:$E$88,2,FALSE)</f>
        <v>0</v>
      </c>
      <c r="C716" s="455" t="str">
        <f t="shared" si="23"/>
        <v>9152020212</v>
      </c>
      <c r="D716" s="455" t="e">
        <f>VLOOKUP(G716,Table!$G$3:$H$21,2,FALSE)</f>
        <v>#N/A</v>
      </c>
      <c r="E716" s="452" t="s">
        <v>902</v>
      </c>
      <c r="F716" s="452" t="s">
        <v>1275</v>
      </c>
      <c r="G716" s="452" t="s">
        <v>1023</v>
      </c>
      <c r="H716" s="452" t="s">
        <v>1024</v>
      </c>
      <c r="I716" s="453" t="s">
        <v>844</v>
      </c>
      <c r="J716" s="453">
        <v>684</v>
      </c>
      <c r="K716" s="461">
        <v>580</v>
      </c>
      <c r="L716" s="461">
        <v>274</v>
      </c>
      <c r="M716" s="461">
        <v>24</v>
      </c>
      <c r="N716" s="461">
        <v>0</v>
      </c>
      <c r="O716" s="461">
        <v>0</v>
      </c>
      <c r="P716" s="461">
        <v>0</v>
      </c>
      <c r="Q716" s="461">
        <v>0</v>
      </c>
      <c r="R716" s="461">
        <v>0</v>
      </c>
      <c r="S716" s="461">
        <v>0</v>
      </c>
      <c r="T716" s="461">
        <v>0</v>
      </c>
      <c r="U716" s="461">
        <v>0</v>
      </c>
      <c r="V716" s="461">
        <v>0</v>
      </c>
    </row>
    <row r="717" spans="1:22" s="455" customFormat="1" hidden="1">
      <c r="A717" s="455" t="str">
        <f t="shared" si="22"/>
        <v>11649152068411</v>
      </c>
      <c r="B717" s="455">
        <f>VLOOKUP(LEFT($C$3:$C$2600,3),Table!$D$2:$E$88,2,FALSE)</f>
        <v>0</v>
      </c>
      <c r="C717" s="455" t="str">
        <f t="shared" si="23"/>
        <v>9152068411</v>
      </c>
      <c r="D717" s="455" t="e">
        <f>VLOOKUP(G717,Table!$G$3:$H$21,2,FALSE)</f>
        <v>#N/A</v>
      </c>
      <c r="E717" s="452" t="s">
        <v>902</v>
      </c>
      <c r="F717" s="452" t="s">
        <v>1275</v>
      </c>
      <c r="G717" s="452" t="s">
        <v>1276</v>
      </c>
      <c r="H717" s="452" t="s">
        <v>1277</v>
      </c>
      <c r="I717" s="453" t="s">
        <v>844</v>
      </c>
      <c r="J717" s="453">
        <v>1351.77</v>
      </c>
      <c r="K717" s="461">
        <v>0</v>
      </c>
      <c r="L717" s="461">
        <v>0</v>
      </c>
      <c r="M717" s="461">
        <v>1351.77</v>
      </c>
      <c r="N717" s="461">
        <v>0</v>
      </c>
      <c r="O717" s="461">
        <v>0</v>
      </c>
      <c r="P717" s="461">
        <v>0</v>
      </c>
      <c r="Q717" s="461">
        <v>0</v>
      </c>
      <c r="R717" s="461">
        <v>0</v>
      </c>
      <c r="S717" s="461">
        <v>0</v>
      </c>
      <c r="T717" s="461">
        <v>0</v>
      </c>
      <c r="U717" s="461">
        <v>0</v>
      </c>
      <c r="V717" s="461">
        <v>0</v>
      </c>
    </row>
    <row r="718" spans="1:22" s="455" customFormat="1" hidden="1">
      <c r="A718" s="455" t="str">
        <f t="shared" si="22"/>
        <v>11649152090000</v>
      </c>
      <c r="B718" s="455">
        <f>VLOOKUP(LEFT($C$3:$C$2600,3),Table!$D$2:$E$88,2,FALSE)</f>
        <v>0</v>
      </c>
      <c r="C718" s="455" t="str">
        <f t="shared" si="23"/>
        <v>9152090000</v>
      </c>
      <c r="D718" s="455" t="e">
        <f>VLOOKUP(G718,Table!$G$3:$H$21,2,FALSE)</f>
        <v>#N/A</v>
      </c>
      <c r="E718" s="452" t="s">
        <v>902</v>
      </c>
      <c r="F718" s="452" t="s">
        <v>1275</v>
      </c>
      <c r="G718" s="452" t="s">
        <v>1033</v>
      </c>
      <c r="H718" s="452" t="s">
        <v>1034</v>
      </c>
      <c r="I718" s="453" t="s">
        <v>844</v>
      </c>
      <c r="J718" s="453">
        <v>10000</v>
      </c>
      <c r="K718" s="461">
        <v>0</v>
      </c>
      <c r="L718" s="461">
        <v>0</v>
      </c>
      <c r="M718" s="461">
        <v>10000</v>
      </c>
      <c r="N718" s="461">
        <v>0</v>
      </c>
      <c r="O718" s="461">
        <v>0</v>
      </c>
      <c r="P718" s="461">
        <v>0</v>
      </c>
      <c r="Q718" s="461">
        <v>0</v>
      </c>
      <c r="R718" s="461">
        <v>0</v>
      </c>
      <c r="S718" s="461">
        <v>0</v>
      </c>
      <c r="T718" s="461">
        <v>0</v>
      </c>
      <c r="U718" s="461">
        <v>0</v>
      </c>
      <c r="V718" s="461">
        <v>0</v>
      </c>
    </row>
    <row r="719" spans="1:22" s="455" customFormat="1" hidden="1">
      <c r="A719" s="455" t="str">
        <f t="shared" si="22"/>
        <v>11649153001000</v>
      </c>
      <c r="B719" s="455">
        <f>VLOOKUP(LEFT($C$3:$C$2600,3),Table!$D$2:$E$88,2,FALSE)</f>
        <v>0</v>
      </c>
      <c r="C719" s="455" t="str">
        <f t="shared" si="23"/>
        <v>9153001000</v>
      </c>
      <c r="D719" s="455" t="e">
        <f>VLOOKUP(G719,Table!$G$3:$H$21,2,FALSE)</f>
        <v>#N/A</v>
      </c>
      <c r="E719" s="452" t="s">
        <v>902</v>
      </c>
      <c r="F719" s="452" t="s">
        <v>1275</v>
      </c>
      <c r="G719" s="452" t="s">
        <v>1043</v>
      </c>
      <c r="H719" s="452" t="s">
        <v>1044</v>
      </c>
      <c r="I719" s="453" t="s">
        <v>844</v>
      </c>
      <c r="J719" s="453">
        <v>18609</v>
      </c>
      <c r="K719" s="461">
        <v>6203</v>
      </c>
      <c r="L719" s="461">
        <v>6203</v>
      </c>
      <c r="M719" s="461">
        <v>6203</v>
      </c>
      <c r="N719" s="461">
        <v>0</v>
      </c>
      <c r="O719" s="461">
        <v>0</v>
      </c>
      <c r="P719" s="461">
        <v>0</v>
      </c>
      <c r="Q719" s="461">
        <v>0</v>
      </c>
      <c r="R719" s="461">
        <v>0</v>
      </c>
      <c r="S719" s="461">
        <v>0</v>
      </c>
      <c r="T719" s="461">
        <v>0</v>
      </c>
      <c r="U719" s="461">
        <v>0</v>
      </c>
      <c r="V719" s="461">
        <v>0</v>
      </c>
    </row>
    <row r="720" spans="1:22" s="455" customFormat="1" hidden="1">
      <c r="A720" s="455" t="str">
        <f t="shared" si="22"/>
        <v>11659101101000</v>
      </c>
      <c r="B720" s="455">
        <f>VLOOKUP(LEFT($C$3:$C$2600,3),Table!$D$2:$E$88,2,FALSE)</f>
        <v>0</v>
      </c>
      <c r="C720" s="455" t="str">
        <f t="shared" si="23"/>
        <v>9101101000</v>
      </c>
      <c r="D720" s="455" t="e">
        <f>VLOOKUP(G720,Table!$G$3:$H$21,2,FALSE)</f>
        <v>#N/A</v>
      </c>
      <c r="E720" s="452" t="s">
        <v>902</v>
      </c>
      <c r="F720" s="452" t="s">
        <v>1278</v>
      </c>
      <c r="G720" s="452" t="s">
        <v>1067</v>
      </c>
      <c r="H720" s="452" t="s">
        <v>1068</v>
      </c>
      <c r="I720" s="453" t="s">
        <v>844</v>
      </c>
      <c r="J720" s="453">
        <v>20546.53</v>
      </c>
      <c r="K720" s="461">
        <v>5899.54</v>
      </c>
      <c r="L720" s="461">
        <v>7752.23</v>
      </c>
      <c r="M720" s="461">
        <v>8097.79</v>
      </c>
      <c r="N720" s="461">
        <v>0</v>
      </c>
      <c r="O720" s="461">
        <v>0</v>
      </c>
      <c r="P720" s="461">
        <v>0</v>
      </c>
      <c r="Q720" s="461">
        <v>0</v>
      </c>
      <c r="R720" s="461">
        <v>0</v>
      </c>
      <c r="S720" s="461">
        <v>0</v>
      </c>
      <c r="T720" s="461">
        <v>0</v>
      </c>
      <c r="U720" s="461">
        <v>0</v>
      </c>
      <c r="V720" s="461">
        <v>0</v>
      </c>
    </row>
    <row r="721" spans="1:22" s="455" customFormat="1" hidden="1">
      <c r="A721" s="455" t="str">
        <f t="shared" si="22"/>
        <v>11659101101100</v>
      </c>
      <c r="B721" s="455">
        <f>VLOOKUP(LEFT($C$3:$C$2600,3),Table!$D$2:$E$88,2,FALSE)</f>
        <v>0</v>
      </c>
      <c r="C721" s="455" t="str">
        <f t="shared" si="23"/>
        <v>9101101100</v>
      </c>
      <c r="D721" s="455" t="e">
        <f>VLOOKUP(G721,Table!$G$3:$H$21,2,FALSE)</f>
        <v>#N/A</v>
      </c>
      <c r="E721" s="452" t="s">
        <v>902</v>
      </c>
      <c r="F721" s="452" t="s">
        <v>1278</v>
      </c>
      <c r="G721" s="452" t="s">
        <v>1069</v>
      </c>
      <c r="H721" s="452" t="s">
        <v>1070</v>
      </c>
      <c r="I721" s="453" t="s">
        <v>844</v>
      </c>
      <c r="J721" s="453">
        <v>8800.5499999999993</v>
      </c>
      <c r="K721" s="461">
        <v>3180.37</v>
      </c>
      <c r="L721" s="461">
        <v>3375.39</v>
      </c>
      <c r="M721" s="461">
        <v>2797.52</v>
      </c>
      <c r="N721" s="461">
        <v>0</v>
      </c>
      <c r="O721" s="461">
        <v>0</v>
      </c>
      <c r="P721" s="461">
        <v>0</v>
      </c>
      <c r="Q721" s="461">
        <v>0</v>
      </c>
      <c r="R721" s="461">
        <v>0</v>
      </c>
      <c r="S721" s="461">
        <v>0</v>
      </c>
      <c r="T721" s="461">
        <v>0</v>
      </c>
      <c r="U721" s="461">
        <v>0</v>
      </c>
      <c r="V721" s="461">
        <v>0</v>
      </c>
    </row>
    <row r="722" spans="1:22" s="455" customFormat="1" hidden="1">
      <c r="A722" s="455" t="str">
        <f t="shared" si="22"/>
        <v>11659101101200</v>
      </c>
      <c r="B722" s="455">
        <f>VLOOKUP(LEFT($C$3:$C$2600,3),Table!$D$2:$E$88,2,FALSE)</f>
        <v>0</v>
      </c>
      <c r="C722" s="455" t="str">
        <f t="shared" si="23"/>
        <v>9101101200</v>
      </c>
      <c r="D722" s="455" t="e">
        <f>VLOOKUP(G722,Table!$G$3:$H$21,2,FALSE)</f>
        <v>#N/A</v>
      </c>
      <c r="E722" s="452" t="s">
        <v>902</v>
      </c>
      <c r="F722" s="452" t="s">
        <v>1278</v>
      </c>
      <c r="G722" s="452" t="s">
        <v>1071</v>
      </c>
      <c r="H722" s="452" t="s">
        <v>1072</v>
      </c>
      <c r="I722" s="453" t="s">
        <v>844</v>
      </c>
      <c r="J722" s="453">
        <v>2343.5100000000002</v>
      </c>
      <c r="K722" s="461">
        <v>636.92999999999995</v>
      </c>
      <c r="L722" s="461">
        <v>858</v>
      </c>
      <c r="M722" s="461">
        <v>848.58</v>
      </c>
      <c r="N722" s="461">
        <v>0</v>
      </c>
      <c r="O722" s="461">
        <v>0</v>
      </c>
      <c r="P722" s="461">
        <v>0</v>
      </c>
      <c r="Q722" s="461">
        <v>0</v>
      </c>
      <c r="R722" s="461">
        <v>0</v>
      </c>
      <c r="S722" s="461">
        <v>0</v>
      </c>
      <c r="T722" s="461">
        <v>0</v>
      </c>
      <c r="U722" s="461">
        <v>0</v>
      </c>
      <c r="V722" s="461">
        <v>0</v>
      </c>
    </row>
    <row r="723" spans="1:22" s="455" customFormat="1" hidden="1">
      <c r="A723" s="455" t="str">
        <f t="shared" si="22"/>
        <v>11659101101400</v>
      </c>
      <c r="B723" s="455">
        <f>VLOOKUP(LEFT($C$3:$C$2600,3),Table!$D$2:$E$88,2,FALSE)</f>
        <v>0</v>
      </c>
      <c r="C723" s="455" t="str">
        <f t="shared" si="23"/>
        <v>9101101400</v>
      </c>
      <c r="D723" s="455" t="e">
        <f>VLOOKUP(G723,Table!$G$3:$H$21,2,FALSE)</f>
        <v>#N/A</v>
      </c>
      <c r="E723" s="452" t="s">
        <v>902</v>
      </c>
      <c r="F723" s="452" t="s">
        <v>1278</v>
      </c>
      <c r="G723" s="452" t="s">
        <v>1075</v>
      </c>
      <c r="H723" s="452" t="s">
        <v>1076</v>
      </c>
      <c r="I723" s="453" t="s">
        <v>844</v>
      </c>
      <c r="J723" s="453">
        <v>3661</v>
      </c>
      <c r="K723" s="461">
        <v>992</v>
      </c>
      <c r="L723" s="461">
        <v>1314</v>
      </c>
      <c r="M723" s="461">
        <v>1355</v>
      </c>
      <c r="N723" s="461">
        <v>0</v>
      </c>
      <c r="O723" s="461">
        <v>0</v>
      </c>
      <c r="P723" s="461">
        <v>0</v>
      </c>
      <c r="Q723" s="461">
        <v>0</v>
      </c>
      <c r="R723" s="461">
        <v>0</v>
      </c>
      <c r="S723" s="461">
        <v>0</v>
      </c>
      <c r="T723" s="461">
        <v>0</v>
      </c>
      <c r="U723" s="461">
        <v>0</v>
      </c>
      <c r="V723" s="461">
        <v>0</v>
      </c>
    </row>
    <row r="724" spans="1:22" s="455" customFormat="1" hidden="1">
      <c r="A724" s="455" t="str">
        <f t="shared" si="22"/>
        <v>11659101101410</v>
      </c>
      <c r="B724" s="455">
        <f>VLOOKUP(LEFT($C$3:$C$2600,3),Table!$D$2:$E$88,2,FALSE)</f>
        <v>0</v>
      </c>
      <c r="C724" s="455" t="str">
        <f t="shared" si="23"/>
        <v>9101101410</v>
      </c>
      <c r="D724" s="455" t="e">
        <f>VLOOKUP(G724,Table!$G$3:$H$21,2,FALSE)</f>
        <v>#N/A</v>
      </c>
      <c r="E724" s="452" t="s">
        <v>902</v>
      </c>
      <c r="F724" s="452" t="s">
        <v>1278</v>
      </c>
      <c r="G724" s="452" t="s">
        <v>1077</v>
      </c>
      <c r="H724" s="452" t="s">
        <v>1078</v>
      </c>
      <c r="I724" s="453" t="s">
        <v>844</v>
      </c>
      <c r="J724" s="453">
        <v>75</v>
      </c>
      <c r="K724" s="461">
        <v>15</v>
      </c>
      <c r="L724" s="461">
        <v>30</v>
      </c>
      <c r="M724" s="461">
        <v>30</v>
      </c>
      <c r="N724" s="461">
        <v>0</v>
      </c>
      <c r="O724" s="461">
        <v>0</v>
      </c>
      <c r="P724" s="461">
        <v>0</v>
      </c>
      <c r="Q724" s="461">
        <v>0</v>
      </c>
      <c r="R724" s="461">
        <v>0</v>
      </c>
      <c r="S724" s="461">
        <v>0</v>
      </c>
      <c r="T724" s="461">
        <v>0</v>
      </c>
      <c r="U724" s="461">
        <v>0</v>
      </c>
      <c r="V724" s="461">
        <v>0</v>
      </c>
    </row>
    <row r="725" spans="1:22" s="455" customFormat="1" hidden="1">
      <c r="A725" s="455" t="str">
        <f t="shared" si="22"/>
        <v>11659101101500</v>
      </c>
      <c r="B725" s="455">
        <f>VLOOKUP(LEFT($C$3:$C$2600,3),Table!$D$2:$E$88,2,FALSE)</f>
        <v>0</v>
      </c>
      <c r="C725" s="455" t="str">
        <f t="shared" si="23"/>
        <v>9101101500</v>
      </c>
      <c r="D725" s="455" t="e">
        <f>VLOOKUP(G725,Table!$G$3:$H$21,2,FALSE)</f>
        <v>#N/A</v>
      </c>
      <c r="E725" s="452" t="s">
        <v>902</v>
      </c>
      <c r="F725" s="452" t="s">
        <v>1278</v>
      </c>
      <c r="G725" s="452" t="s">
        <v>1079</v>
      </c>
      <c r="H725" s="452" t="s">
        <v>1080</v>
      </c>
      <c r="I725" s="453" t="s">
        <v>844</v>
      </c>
      <c r="J725" s="453">
        <v>584.6</v>
      </c>
      <c r="K725" s="461">
        <v>166.3</v>
      </c>
      <c r="L725" s="461">
        <v>207.45</v>
      </c>
      <c r="M725" s="461">
        <v>210.85</v>
      </c>
      <c r="N725" s="461">
        <v>0</v>
      </c>
      <c r="O725" s="461">
        <v>0</v>
      </c>
      <c r="P725" s="461">
        <v>0</v>
      </c>
      <c r="Q725" s="461">
        <v>0</v>
      </c>
      <c r="R725" s="461">
        <v>0</v>
      </c>
      <c r="S725" s="461">
        <v>0</v>
      </c>
      <c r="T725" s="461">
        <v>0</v>
      </c>
      <c r="U725" s="461">
        <v>0</v>
      </c>
      <c r="V725" s="461">
        <v>0</v>
      </c>
    </row>
    <row r="726" spans="1:22" s="455" customFormat="1" hidden="1">
      <c r="A726" s="455" t="str">
        <f t="shared" si="22"/>
        <v>11659101101600</v>
      </c>
      <c r="B726" s="455">
        <f>VLOOKUP(LEFT($C$3:$C$2600,3),Table!$D$2:$E$88,2,FALSE)</f>
        <v>0</v>
      </c>
      <c r="C726" s="455" t="str">
        <f t="shared" si="23"/>
        <v>9101101600</v>
      </c>
      <c r="D726" s="455" t="e">
        <f>VLOOKUP(G726,Table!$G$3:$H$21,2,FALSE)</f>
        <v>#N/A</v>
      </c>
      <c r="E726" s="452" t="s">
        <v>902</v>
      </c>
      <c r="F726" s="452" t="s">
        <v>1278</v>
      </c>
      <c r="G726" s="452" t="s">
        <v>1081</v>
      </c>
      <c r="H726" s="452" t="s">
        <v>1082</v>
      </c>
      <c r="I726" s="453" t="s">
        <v>844</v>
      </c>
      <c r="J726" s="453">
        <v>4894.2</v>
      </c>
      <c r="K726" s="461">
        <v>1347.98</v>
      </c>
      <c r="L726" s="461">
        <v>1773.11</v>
      </c>
      <c r="M726" s="461">
        <v>1773.11</v>
      </c>
      <c r="N726" s="461">
        <v>0</v>
      </c>
      <c r="O726" s="461">
        <v>0</v>
      </c>
      <c r="P726" s="461">
        <v>0</v>
      </c>
      <c r="Q726" s="461">
        <v>0</v>
      </c>
      <c r="R726" s="461">
        <v>0</v>
      </c>
      <c r="S726" s="461">
        <v>0</v>
      </c>
      <c r="T726" s="461">
        <v>0</v>
      </c>
      <c r="U726" s="461">
        <v>0</v>
      </c>
      <c r="V726" s="461">
        <v>0</v>
      </c>
    </row>
    <row r="727" spans="1:22" s="455" customFormat="1" hidden="1">
      <c r="A727" s="455" t="str">
        <f t="shared" si="22"/>
        <v>11659101101700</v>
      </c>
      <c r="B727" s="455">
        <f>VLOOKUP(LEFT($C$3:$C$2600,3),Table!$D$2:$E$88,2,FALSE)</f>
        <v>0</v>
      </c>
      <c r="C727" s="455" t="str">
        <f t="shared" si="23"/>
        <v>9101101700</v>
      </c>
      <c r="D727" s="455" t="e">
        <f>VLOOKUP(G727,Table!$G$3:$H$21,2,FALSE)</f>
        <v>#N/A</v>
      </c>
      <c r="E727" s="452" t="s">
        <v>902</v>
      </c>
      <c r="F727" s="452" t="s">
        <v>1278</v>
      </c>
      <c r="G727" s="452" t="s">
        <v>1083</v>
      </c>
      <c r="H727" s="452" t="s">
        <v>1084</v>
      </c>
      <c r="I727" s="453" t="s">
        <v>844</v>
      </c>
      <c r="J727" s="453">
        <v>-6564.72</v>
      </c>
      <c r="K727" s="461">
        <v>115.89</v>
      </c>
      <c r="L727" s="461">
        <v>167.72</v>
      </c>
      <c r="M727" s="461">
        <v>2213.79</v>
      </c>
      <c r="N727" s="461">
        <v>0</v>
      </c>
      <c r="O727" s="461">
        <v>0</v>
      </c>
      <c r="P727" s="461">
        <v>0</v>
      </c>
      <c r="Q727" s="461">
        <v>0</v>
      </c>
      <c r="R727" s="461">
        <v>0</v>
      </c>
      <c r="S727" s="461">
        <v>0</v>
      </c>
      <c r="T727" s="461">
        <v>0</v>
      </c>
      <c r="U727" s="461">
        <v>0</v>
      </c>
      <c r="V727" s="461">
        <v>0</v>
      </c>
    </row>
    <row r="728" spans="1:22" s="455" customFormat="1" hidden="1">
      <c r="A728" s="455" t="str">
        <f t="shared" si="22"/>
        <v>11659101101800</v>
      </c>
      <c r="B728" s="455">
        <f>VLOOKUP(LEFT($C$3:$C$2600,3),Table!$D$2:$E$88,2,FALSE)</f>
        <v>0</v>
      </c>
      <c r="C728" s="455" t="str">
        <f t="shared" si="23"/>
        <v>9101101800</v>
      </c>
      <c r="D728" s="455" t="e">
        <f>VLOOKUP(G728,Table!$G$3:$H$21,2,FALSE)</f>
        <v>#N/A</v>
      </c>
      <c r="E728" s="452" t="s">
        <v>902</v>
      </c>
      <c r="F728" s="452" t="s">
        <v>1278</v>
      </c>
      <c r="G728" s="452" t="s">
        <v>1085</v>
      </c>
      <c r="H728" s="452" t="s">
        <v>1086</v>
      </c>
      <c r="I728" s="453" t="s">
        <v>844</v>
      </c>
      <c r="J728" s="453">
        <v>1752.7</v>
      </c>
      <c r="K728" s="461">
        <v>500.6</v>
      </c>
      <c r="L728" s="461">
        <v>635.5</v>
      </c>
      <c r="M728" s="461">
        <v>616.6</v>
      </c>
      <c r="N728" s="461">
        <v>0</v>
      </c>
      <c r="O728" s="461">
        <v>0</v>
      </c>
      <c r="P728" s="461">
        <v>0</v>
      </c>
      <c r="Q728" s="461">
        <v>0</v>
      </c>
      <c r="R728" s="461">
        <v>0</v>
      </c>
      <c r="S728" s="461">
        <v>0</v>
      </c>
      <c r="T728" s="461">
        <v>0</v>
      </c>
      <c r="U728" s="461">
        <v>0</v>
      </c>
      <c r="V728" s="461">
        <v>0</v>
      </c>
    </row>
    <row r="729" spans="1:22" s="455" customFormat="1" hidden="1">
      <c r="A729" s="455" t="str">
        <f t="shared" si="22"/>
        <v>11659101101900</v>
      </c>
      <c r="B729" s="455">
        <f>VLOOKUP(LEFT($C$3:$C$2600,3),Table!$D$2:$E$88,2,FALSE)</f>
        <v>0</v>
      </c>
      <c r="C729" s="455" t="str">
        <f t="shared" si="23"/>
        <v>9101101900</v>
      </c>
      <c r="D729" s="455" t="e">
        <f>VLOOKUP(G729,Table!$G$3:$H$21,2,FALSE)</f>
        <v>#N/A</v>
      </c>
      <c r="E729" s="452" t="s">
        <v>902</v>
      </c>
      <c r="F729" s="452" t="s">
        <v>1278</v>
      </c>
      <c r="G729" s="452" t="s">
        <v>1087</v>
      </c>
      <c r="H729" s="452" t="s">
        <v>1088</v>
      </c>
      <c r="I729" s="453" t="s">
        <v>844</v>
      </c>
      <c r="J729" s="453">
        <v>241.31</v>
      </c>
      <c r="K729" s="461">
        <v>65.73</v>
      </c>
      <c r="L729" s="461">
        <v>86.41</v>
      </c>
      <c r="M729" s="461">
        <v>89.17</v>
      </c>
      <c r="N729" s="461">
        <v>0</v>
      </c>
      <c r="O729" s="461">
        <v>0</v>
      </c>
      <c r="P729" s="461">
        <v>0</v>
      </c>
      <c r="Q729" s="461">
        <v>0</v>
      </c>
      <c r="R729" s="461">
        <v>0</v>
      </c>
      <c r="S729" s="461">
        <v>0</v>
      </c>
      <c r="T729" s="461">
        <v>0</v>
      </c>
      <c r="U729" s="461">
        <v>0</v>
      </c>
      <c r="V729" s="461">
        <v>0</v>
      </c>
    </row>
    <row r="730" spans="1:22" s="455" customFormat="1" hidden="1">
      <c r="A730" s="455" t="str">
        <f t="shared" si="22"/>
        <v>11659101201000</v>
      </c>
      <c r="B730" s="455">
        <f>VLOOKUP(LEFT($C$3:$C$2600,3),Table!$D$2:$E$88,2,FALSE)</f>
        <v>0</v>
      </c>
      <c r="C730" s="455" t="str">
        <f t="shared" si="23"/>
        <v>9101201000</v>
      </c>
      <c r="D730" s="455" t="e">
        <f>VLOOKUP(G730,Table!$G$3:$H$21,2,FALSE)</f>
        <v>#N/A</v>
      </c>
      <c r="E730" s="452" t="s">
        <v>902</v>
      </c>
      <c r="F730" s="452" t="s">
        <v>1278</v>
      </c>
      <c r="G730" s="452" t="s">
        <v>1091</v>
      </c>
      <c r="H730" s="452" t="s">
        <v>1092</v>
      </c>
      <c r="I730" s="453" t="s">
        <v>844</v>
      </c>
      <c r="J730" s="453">
        <v>1713</v>
      </c>
      <c r="K730" s="461">
        <v>540</v>
      </c>
      <c r="L730" s="461">
        <v>583</v>
      </c>
      <c r="M730" s="461">
        <v>590</v>
      </c>
      <c r="N730" s="461">
        <v>0</v>
      </c>
      <c r="O730" s="461">
        <v>0</v>
      </c>
      <c r="P730" s="461">
        <v>0</v>
      </c>
      <c r="Q730" s="461">
        <v>0</v>
      </c>
      <c r="R730" s="461">
        <v>0</v>
      </c>
      <c r="S730" s="461">
        <v>0</v>
      </c>
      <c r="T730" s="461">
        <v>0</v>
      </c>
      <c r="U730" s="461">
        <v>0</v>
      </c>
      <c r="V730" s="461">
        <v>0</v>
      </c>
    </row>
    <row r="731" spans="1:22" s="455" customFormat="1" hidden="1">
      <c r="A731" s="455" t="str">
        <f t="shared" si="22"/>
        <v>11659101302500</v>
      </c>
      <c r="B731" s="455">
        <f>VLOOKUP(LEFT($C$3:$C$2600,3),Table!$D$2:$E$88,2,FALSE)</f>
        <v>0</v>
      </c>
      <c r="C731" s="455" t="str">
        <f t="shared" si="23"/>
        <v>9101302500</v>
      </c>
      <c r="D731" s="455" t="e">
        <f>VLOOKUP(G731,Table!$G$3:$H$21,2,FALSE)</f>
        <v>#N/A</v>
      </c>
      <c r="E731" s="452" t="s">
        <v>902</v>
      </c>
      <c r="F731" s="452" t="s">
        <v>1278</v>
      </c>
      <c r="G731" s="452" t="s">
        <v>973</v>
      </c>
      <c r="H731" s="452" t="s">
        <v>974</v>
      </c>
      <c r="I731" s="453" t="s">
        <v>844</v>
      </c>
      <c r="J731" s="453">
        <v>2765.5</v>
      </c>
      <c r="K731" s="461">
        <v>520</v>
      </c>
      <c r="L731" s="461">
        <v>75</v>
      </c>
      <c r="M731" s="461">
        <v>2170.5</v>
      </c>
      <c r="N731" s="461">
        <v>0</v>
      </c>
      <c r="O731" s="461">
        <v>0</v>
      </c>
      <c r="P731" s="461">
        <v>0</v>
      </c>
      <c r="Q731" s="461">
        <v>0</v>
      </c>
      <c r="R731" s="461">
        <v>0</v>
      </c>
      <c r="S731" s="461">
        <v>0</v>
      </c>
      <c r="T731" s="461">
        <v>0</v>
      </c>
      <c r="U731" s="461">
        <v>0</v>
      </c>
      <c r="V731" s="461">
        <v>0</v>
      </c>
    </row>
    <row r="732" spans="1:22" s="455" customFormat="1" hidden="1">
      <c r="A732" s="455" t="str">
        <f t="shared" si="22"/>
        <v>11659152020212</v>
      </c>
      <c r="B732" s="455">
        <f>VLOOKUP(LEFT($C$3:$C$2600,3),Table!$D$2:$E$88,2,FALSE)</f>
        <v>0</v>
      </c>
      <c r="C732" s="455" t="str">
        <f t="shared" si="23"/>
        <v>9152020212</v>
      </c>
      <c r="D732" s="455" t="e">
        <f>VLOOKUP(G732,Table!$G$3:$H$21,2,FALSE)</f>
        <v>#N/A</v>
      </c>
      <c r="E732" s="452" t="s">
        <v>902</v>
      </c>
      <c r="F732" s="452" t="s">
        <v>1278</v>
      </c>
      <c r="G732" s="452" t="s">
        <v>1023</v>
      </c>
      <c r="H732" s="452" t="s">
        <v>1024</v>
      </c>
      <c r="I732" s="453" t="s">
        <v>844</v>
      </c>
      <c r="J732" s="453">
        <v>240</v>
      </c>
      <c r="K732" s="461">
        <v>80</v>
      </c>
      <c r="L732" s="461">
        <v>0</v>
      </c>
      <c r="M732" s="461">
        <v>160</v>
      </c>
      <c r="N732" s="461">
        <v>0</v>
      </c>
      <c r="O732" s="461">
        <v>0</v>
      </c>
      <c r="P732" s="461">
        <v>0</v>
      </c>
      <c r="Q732" s="461">
        <v>0</v>
      </c>
      <c r="R732" s="461">
        <v>0</v>
      </c>
      <c r="S732" s="461">
        <v>0</v>
      </c>
      <c r="T732" s="461">
        <v>0</v>
      </c>
      <c r="U732" s="461">
        <v>0</v>
      </c>
      <c r="V732" s="461">
        <v>0</v>
      </c>
    </row>
    <row r="733" spans="1:22" s="455" customFormat="1" hidden="1">
      <c r="A733" s="455" t="str">
        <f t="shared" si="22"/>
        <v>11659152067611</v>
      </c>
      <c r="B733" s="455">
        <f>VLOOKUP(LEFT($C$3:$C$2600,3),Table!$D$2:$E$88,2,FALSE)</f>
        <v>0</v>
      </c>
      <c r="C733" s="455" t="str">
        <f t="shared" si="23"/>
        <v>9152067611</v>
      </c>
      <c r="D733" s="455" t="e">
        <f>VLOOKUP(G733,Table!$G$3:$H$21,2,FALSE)</f>
        <v>#N/A</v>
      </c>
      <c r="E733" s="452" t="s">
        <v>902</v>
      </c>
      <c r="F733" s="452" t="s">
        <v>1278</v>
      </c>
      <c r="G733" s="452" t="s">
        <v>1279</v>
      </c>
      <c r="H733" s="452" t="s">
        <v>1280</v>
      </c>
      <c r="I733" s="453" t="s">
        <v>844</v>
      </c>
      <c r="J733" s="453">
        <v>1895</v>
      </c>
      <c r="K733" s="461">
        <v>1895</v>
      </c>
      <c r="L733" s="461">
        <v>0</v>
      </c>
      <c r="M733" s="461">
        <v>0</v>
      </c>
      <c r="N733" s="461">
        <v>0</v>
      </c>
      <c r="O733" s="461">
        <v>0</v>
      </c>
      <c r="P733" s="461">
        <v>0</v>
      </c>
      <c r="Q733" s="461">
        <v>0</v>
      </c>
      <c r="R733" s="461">
        <v>0</v>
      </c>
      <c r="S733" s="461">
        <v>0</v>
      </c>
      <c r="T733" s="461">
        <v>0</v>
      </c>
      <c r="U733" s="461">
        <v>0</v>
      </c>
      <c r="V733" s="461">
        <v>0</v>
      </c>
    </row>
    <row r="734" spans="1:22" s="455" customFormat="1" hidden="1">
      <c r="A734" s="455" t="str">
        <f t="shared" si="22"/>
        <v>11659153001000</v>
      </c>
      <c r="B734" s="455">
        <f>VLOOKUP(LEFT($C$3:$C$2600,3),Table!$D$2:$E$88,2,FALSE)</f>
        <v>0</v>
      </c>
      <c r="C734" s="455" t="str">
        <f t="shared" si="23"/>
        <v>9153001000</v>
      </c>
      <c r="D734" s="455" t="e">
        <f>VLOOKUP(G734,Table!$G$3:$H$21,2,FALSE)</f>
        <v>#N/A</v>
      </c>
      <c r="E734" s="452" t="s">
        <v>902</v>
      </c>
      <c r="F734" s="452" t="s">
        <v>1278</v>
      </c>
      <c r="G734" s="452" t="s">
        <v>1043</v>
      </c>
      <c r="H734" s="452" t="s">
        <v>1044</v>
      </c>
      <c r="I734" s="453" t="s">
        <v>844</v>
      </c>
      <c r="J734" s="453">
        <v>3834</v>
      </c>
      <c r="K734" s="461">
        <v>1278</v>
      </c>
      <c r="L734" s="461">
        <v>1278</v>
      </c>
      <c r="M734" s="461">
        <v>1278</v>
      </c>
      <c r="N734" s="461">
        <v>0</v>
      </c>
      <c r="O734" s="461">
        <v>0</v>
      </c>
      <c r="P734" s="461">
        <v>0</v>
      </c>
      <c r="Q734" s="461">
        <v>0</v>
      </c>
      <c r="R734" s="461">
        <v>0</v>
      </c>
      <c r="S734" s="461">
        <v>0</v>
      </c>
      <c r="T734" s="461">
        <v>0</v>
      </c>
      <c r="U734" s="461">
        <v>0</v>
      </c>
      <c r="V734" s="461">
        <v>0</v>
      </c>
    </row>
    <row r="735" spans="1:22" s="455" customFormat="1" hidden="1">
      <c r="A735" s="455" t="str">
        <f t="shared" si="22"/>
        <v>11669101302500</v>
      </c>
      <c r="B735" s="455">
        <f>VLOOKUP(LEFT($C$3:$C$2600,3),Table!$D$2:$E$88,2,FALSE)</f>
        <v>0</v>
      </c>
      <c r="C735" s="455" t="str">
        <f t="shared" si="23"/>
        <v>9101302500</v>
      </c>
      <c r="D735" s="455" t="e">
        <f>VLOOKUP(G735,Table!$G$3:$H$21,2,FALSE)</f>
        <v>#N/A</v>
      </c>
      <c r="E735" s="452" t="s">
        <v>902</v>
      </c>
      <c r="F735" s="452" t="s">
        <v>1281</v>
      </c>
      <c r="G735" s="452" t="s">
        <v>973</v>
      </c>
      <c r="H735" s="452" t="s">
        <v>974</v>
      </c>
      <c r="I735" s="453" t="s">
        <v>844</v>
      </c>
      <c r="J735" s="453">
        <v>950.6</v>
      </c>
      <c r="K735" s="461">
        <v>950.6</v>
      </c>
      <c r="L735" s="461">
        <v>0</v>
      </c>
      <c r="M735" s="461">
        <v>0</v>
      </c>
      <c r="N735" s="461">
        <v>0</v>
      </c>
      <c r="O735" s="461">
        <v>0</v>
      </c>
      <c r="P735" s="461">
        <v>0</v>
      </c>
      <c r="Q735" s="461">
        <v>0</v>
      </c>
      <c r="R735" s="461">
        <v>0</v>
      </c>
      <c r="S735" s="461">
        <v>0</v>
      </c>
      <c r="T735" s="461">
        <v>0</v>
      </c>
      <c r="U735" s="461">
        <v>0</v>
      </c>
      <c r="V735" s="461">
        <v>0</v>
      </c>
    </row>
    <row r="736" spans="1:22" s="455" customFormat="1" hidden="1">
      <c r="A736" s="455" t="str">
        <f t="shared" si="22"/>
        <v>11669153001000</v>
      </c>
      <c r="B736" s="455">
        <f>VLOOKUP(LEFT($C$3:$C$2600,3),Table!$D$2:$E$88,2,FALSE)</f>
        <v>0</v>
      </c>
      <c r="C736" s="455" t="str">
        <f t="shared" si="23"/>
        <v>9153001000</v>
      </c>
      <c r="D736" s="455" t="e">
        <f>VLOOKUP(G736,Table!$G$3:$H$21,2,FALSE)</f>
        <v>#N/A</v>
      </c>
      <c r="E736" s="452" t="s">
        <v>902</v>
      </c>
      <c r="F736" s="452" t="s">
        <v>1281</v>
      </c>
      <c r="G736" s="452" t="s">
        <v>1043</v>
      </c>
      <c r="H736" s="452" t="s">
        <v>1044</v>
      </c>
      <c r="I736" s="453" t="s">
        <v>844</v>
      </c>
      <c r="J736" s="453">
        <v>20538</v>
      </c>
      <c r="K736" s="461">
        <v>6846</v>
      </c>
      <c r="L736" s="461">
        <v>6846</v>
      </c>
      <c r="M736" s="461">
        <v>6846</v>
      </c>
      <c r="N736" s="461">
        <v>0</v>
      </c>
      <c r="O736" s="461">
        <v>0</v>
      </c>
      <c r="P736" s="461">
        <v>0</v>
      </c>
      <c r="Q736" s="461">
        <v>0</v>
      </c>
      <c r="R736" s="461">
        <v>0</v>
      </c>
      <c r="S736" s="461">
        <v>0</v>
      </c>
      <c r="T736" s="461">
        <v>0</v>
      </c>
      <c r="U736" s="461">
        <v>0</v>
      </c>
      <c r="V736" s="461">
        <v>0</v>
      </c>
    </row>
    <row r="737" spans="1:22" s="455" customFormat="1" hidden="1">
      <c r="A737" s="455" t="str">
        <f t="shared" si="22"/>
        <v>11709100900000</v>
      </c>
      <c r="B737" s="455">
        <f>VLOOKUP(LEFT($C$3:$C$2600,3),Table!$D$2:$E$88,2,FALSE)</f>
        <v>0</v>
      </c>
      <c r="C737" s="455" t="str">
        <f t="shared" si="23"/>
        <v>9100900000</v>
      </c>
      <c r="D737" s="455" t="e">
        <f>VLOOKUP(G737,Table!$G$3:$H$21,2,FALSE)</f>
        <v>#N/A</v>
      </c>
      <c r="E737" s="452" t="s">
        <v>902</v>
      </c>
      <c r="F737" s="452" t="s">
        <v>1282</v>
      </c>
      <c r="G737" s="452" t="s">
        <v>965</v>
      </c>
      <c r="H737" s="452" t="s">
        <v>966</v>
      </c>
      <c r="I737" s="453" t="s">
        <v>844</v>
      </c>
      <c r="J737" s="453">
        <v>24961.25</v>
      </c>
      <c r="K737" s="461">
        <v>9292.5</v>
      </c>
      <c r="L737" s="461">
        <v>7032.5</v>
      </c>
      <c r="M737" s="461">
        <v>8636.25</v>
      </c>
      <c r="N737" s="461">
        <v>0</v>
      </c>
      <c r="O737" s="461">
        <v>0</v>
      </c>
      <c r="P737" s="461">
        <v>0</v>
      </c>
      <c r="Q737" s="461">
        <v>0</v>
      </c>
      <c r="R737" s="461">
        <v>0</v>
      </c>
      <c r="S737" s="461">
        <v>0</v>
      </c>
      <c r="T737" s="461">
        <v>0</v>
      </c>
      <c r="U737" s="461">
        <v>0</v>
      </c>
      <c r="V737" s="461">
        <v>0</v>
      </c>
    </row>
    <row r="738" spans="1:22" s="455" customFormat="1" hidden="1">
      <c r="A738" s="455" t="str">
        <f t="shared" si="22"/>
        <v>11709101001000</v>
      </c>
      <c r="B738" s="455">
        <f>VLOOKUP(LEFT($C$3:$C$2600,3),Table!$D$2:$E$88,2,FALSE)</f>
        <v>0</v>
      </c>
      <c r="C738" s="455" t="str">
        <f t="shared" si="23"/>
        <v>9101001000</v>
      </c>
      <c r="D738" s="455" t="e">
        <f>VLOOKUP(G738,Table!$G$3:$H$21,2,FALSE)</f>
        <v>#N/A</v>
      </c>
      <c r="E738" s="452" t="s">
        <v>902</v>
      </c>
      <c r="F738" s="452" t="s">
        <v>1282</v>
      </c>
      <c r="G738" s="452" t="s">
        <v>1046</v>
      </c>
      <c r="H738" s="452" t="s">
        <v>1047</v>
      </c>
      <c r="I738" s="453" t="s">
        <v>844</v>
      </c>
      <c r="J738" s="453">
        <v>14305.8</v>
      </c>
      <c r="K738" s="461">
        <v>4768.6000000000004</v>
      </c>
      <c r="L738" s="461">
        <v>4768.6000000000004</v>
      </c>
      <c r="M738" s="461">
        <v>4768.6000000000004</v>
      </c>
      <c r="N738" s="461">
        <v>0</v>
      </c>
      <c r="O738" s="461">
        <v>0</v>
      </c>
      <c r="P738" s="461">
        <v>0</v>
      </c>
      <c r="Q738" s="461">
        <v>0</v>
      </c>
      <c r="R738" s="461">
        <v>0</v>
      </c>
      <c r="S738" s="461">
        <v>0</v>
      </c>
      <c r="T738" s="461">
        <v>0</v>
      </c>
      <c r="U738" s="461">
        <v>0</v>
      </c>
      <c r="V738" s="461">
        <v>0</v>
      </c>
    </row>
    <row r="739" spans="1:22" s="455" customFormat="1" hidden="1">
      <c r="A739" s="455" t="str">
        <f t="shared" si="22"/>
        <v>11709101001100</v>
      </c>
      <c r="B739" s="455">
        <f>VLOOKUP(LEFT($C$3:$C$2600,3),Table!$D$2:$E$88,2,FALSE)</f>
        <v>0</v>
      </c>
      <c r="C739" s="455" t="str">
        <f t="shared" si="23"/>
        <v>9101001100</v>
      </c>
      <c r="D739" s="455" t="e">
        <f>VLOOKUP(G739,Table!$G$3:$H$21,2,FALSE)</f>
        <v>#N/A</v>
      </c>
      <c r="E739" s="452" t="s">
        <v>902</v>
      </c>
      <c r="F739" s="452" t="s">
        <v>1282</v>
      </c>
      <c r="G739" s="452" t="s">
        <v>1048</v>
      </c>
      <c r="H739" s="452" t="s">
        <v>1049</v>
      </c>
      <c r="I739" s="453" t="s">
        <v>844</v>
      </c>
      <c r="J739" s="453">
        <v>3521.88</v>
      </c>
      <c r="K739" s="461">
        <v>1348.77</v>
      </c>
      <c r="L739" s="461">
        <v>1169.3499999999999</v>
      </c>
      <c r="M739" s="461">
        <v>1193.7</v>
      </c>
      <c r="N739" s="461">
        <v>0</v>
      </c>
      <c r="O739" s="461">
        <v>0</v>
      </c>
      <c r="P739" s="461">
        <v>0</v>
      </c>
      <c r="Q739" s="461">
        <v>0</v>
      </c>
      <c r="R739" s="461">
        <v>0</v>
      </c>
      <c r="S739" s="461">
        <v>0</v>
      </c>
      <c r="T739" s="461">
        <v>0</v>
      </c>
      <c r="U739" s="461">
        <v>0</v>
      </c>
      <c r="V739" s="461">
        <v>0</v>
      </c>
    </row>
    <row r="740" spans="1:22" s="455" customFormat="1" hidden="1">
      <c r="A740" s="455" t="str">
        <f t="shared" si="22"/>
        <v>11709101001200</v>
      </c>
      <c r="B740" s="455">
        <f>VLOOKUP(LEFT($C$3:$C$2600,3),Table!$D$2:$E$88,2,FALSE)</f>
        <v>0</v>
      </c>
      <c r="C740" s="455" t="str">
        <f t="shared" si="23"/>
        <v>9101001200</v>
      </c>
      <c r="D740" s="455" t="e">
        <f>VLOOKUP(G740,Table!$G$3:$H$21,2,FALSE)</f>
        <v>#N/A</v>
      </c>
      <c r="E740" s="452" t="s">
        <v>902</v>
      </c>
      <c r="F740" s="452" t="s">
        <v>1282</v>
      </c>
      <c r="G740" s="452" t="s">
        <v>1050</v>
      </c>
      <c r="H740" s="452" t="s">
        <v>1051</v>
      </c>
      <c r="I740" s="453" t="s">
        <v>844</v>
      </c>
      <c r="J740" s="453">
        <v>1335.73</v>
      </c>
      <c r="K740" s="461">
        <v>457.8</v>
      </c>
      <c r="L740" s="461">
        <v>442.73</v>
      </c>
      <c r="M740" s="461">
        <v>435.2</v>
      </c>
      <c r="N740" s="461">
        <v>0</v>
      </c>
      <c r="O740" s="461">
        <v>0</v>
      </c>
      <c r="P740" s="461">
        <v>0</v>
      </c>
      <c r="Q740" s="461">
        <v>0</v>
      </c>
      <c r="R740" s="461">
        <v>0</v>
      </c>
      <c r="S740" s="461">
        <v>0</v>
      </c>
      <c r="T740" s="461">
        <v>0</v>
      </c>
      <c r="U740" s="461">
        <v>0</v>
      </c>
      <c r="V740" s="461">
        <v>0</v>
      </c>
    </row>
    <row r="741" spans="1:22" s="455" customFormat="1" hidden="1">
      <c r="A741" s="455" t="str">
        <f t="shared" si="22"/>
        <v>11709101001400</v>
      </c>
      <c r="B741" s="455">
        <f>VLOOKUP(LEFT($C$3:$C$2600,3),Table!$D$2:$E$88,2,FALSE)</f>
        <v>0</v>
      </c>
      <c r="C741" s="455" t="str">
        <f t="shared" si="23"/>
        <v>9101001400</v>
      </c>
      <c r="D741" s="455" t="e">
        <f>VLOOKUP(G741,Table!$G$3:$H$21,2,FALSE)</f>
        <v>#N/A</v>
      </c>
      <c r="E741" s="452" t="s">
        <v>902</v>
      </c>
      <c r="F741" s="452" t="s">
        <v>1282</v>
      </c>
      <c r="G741" s="452" t="s">
        <v>1054</v>
      </c>
      <c r="H741" s="452" t="s">
        <v>1055</v>
      </c>
      <c r="I741" s="453" t="s">
        <v>844</v>
      </c>
      <c r="J741" s="453">
        <v>2369</v>
      </c>
      <c r="K741" s="461">
        <v>791</v>
      </c>
      <c r="L741" s="461">
        <v>789</v>
      </c>
      <c r="M741" s="461">
        <v>789</v>
      </c>
      <c r="N741" s="461">
        <v>0</v>
      </c>
      <c r="O741" s="461">
        <v>0</v>
      </c>
      <c r="P741" s="461">
        <v>0</v>
      </c>
      <c r="Q741" s="461">
        <v>0</v>
      </c>
      <c r="R741" s="461">
        <v>0</v>
      </c>
      <c r="S741" s="461">
        <v>0</v>
      </c>
      <c r="T741" s="461">
        <v>0</v>
      </c>
      <c r="U741" s="461">
        <v>0</v>
      </c>
      <c r="V741" s="461">
        <v>0</v>
      </c>
    </row>
    <row r="742" spans="1:22" s="455" customFormat="1" hidden="1">
      <c r="A742" s="455" t="str">
        <f t="shared" si="22"/>
        <v>11709101001410</v>
      </c>
      <c r="B742" s="455">
        <f>VLOOKUP(LEFT($C$3:$C$2600,3),Table!$D$2:$E$88,2,FALSE)</f>
        <v>0</v>
      </c>
      <c r="C742" s="455" t="str">
        <f t="shared" si="23"/>
        <v>9101001410</v>
      </c>
      <c r="D742" s="455" t="e">
        <f>VLOOKUP(G742,Table!$G$3:$H$21,2,FALSE)</f>
        <v>#N/A</v>
      </c>
      <c r="E742" s="452" t="s">
        <v>902</v>
      </c>
      <c r="F742" s="452" t="s">
        <v>1282</v>
      </c>
      <c r="G742" s="452" t="s">
        <v>1056</v>
      </c>
      <c r="H742" s="452" t="s">
        <v>1057</v>
      </c>
      <c r="I742" s="453" t="s">
        <v>844</v>
      </c>
      <c r="J742" s="453">
        <v>75</v>
      </c>
      <c r="K742" s="461">
        <v>30</v>
      </c>
      <c r="L742" s="461">
        <v>30</v>
      </c>
      <c r="M742" s="461">
        <v>15</v>
      </c>
      <c r="N742" s="461">
        <v>0</v>
      </c>
      <c r="O742" s="461">
        <v>0</v>
      </c>
      <c r="P742" s="461">
        <v>0</v>
      </c>
      <c r="Q742" s="461">
        <v>0</v>
      </c>
      <c r="R742" s="461">
        <v>0</v>
      </c>
      <c r="S742" s="461">
        <v>0</v>
      </c>
      <c r="T742" s="461">
        <v>0</v>
      </c>
      <c r="U742" s="461">
        <v>0</v>
      </c>
      <c r="V742" s="461">
        <v>0</v>
      </c>
    </row>
    <row r="743" spans="1:22" s="455" customFormat="1" hidden="1">
      <c r="A743" s="455" t="str">
        <f t="shared" si="22"/>
        <v>11709101001500</v>
      </c>
      <c r="B743" s="455">
        <f>VLOOKUP(LEFT($C$3:$C$2600,3),Table!$D$2:$E$88,2,FALSE)</f>
        <v>0</v>
      </c>
      <c r="C743" s="455" t="str">
        <f t="shared" si="23"/>
        <v>9101001500</v>
      </c>
      <c r="D743" s="455" t="e">
        <f>VLOOKUP(G743,Table!$G$3:$H$21,2,FALSE)</f>
        <v>#N/A</v>
      </c>
      <c r="E743" s="452" t="s">
        <v>902</v>
      </c>
      <c r="F743" s="452" t="s">
        <v>1282</v>
      </c>
      <c r="G743" s="452" t="s">
        <v>1058</v>
      </c>
      <c r="H743" s="452" t="s">
        <v>1059</v>
      </c>
      <c r="I743" s="453" t="s">
        <v>844</v>
      </c>
      <c r="J743" s="453">
        <v>290.60000000000002</v>
      </c>
      <c r="K743" s="461">
        <v>96.3</v>
      </c>
      <c r="L743" s="461">
        <v>96.3</v>
      </c>
      <c r="M743" s="461">
        <v>98</v>
      </c>
      <c r="N743" s="461">
        <v>0</v>
      </c>
      <c r="O743" s="461">
        <v>0</v>
      </c>
      <c r="P743" s="461">
        <v>0</v>
      </c>
      <c r="Q743" s="461">
        <v>0</v>
      </c>
      <c r="R743" s="461">
        <v>0</v>
      </c>
      <c r="S743" s="461">
        <v>0</v>
      </c>
      <c r="T743" s="461">
        <v>0</v>
      </c>
      <c r="U743" s="461">
        <v>0</v>
      </c>
      <c r="V743" s="461">
        <v>0</v>
      </c>
    </row>
    <row r="744" spans="1:22" s="455" customFormat="1" hidden="1">
      <c r="A744" s="455" t="str">
        <f t="shared" si="22"/>
        <v>11709101001600</v>
      </c>
      <c r="B744" s="455">
        <f>VLOOKUP(LEFT($C$3:$C$2600,3),Table!$D$2:$E$88,2,FALSE)</f>
        <v>0</v>
      </c>
      <c r="C744" s="455" t="str">
        <f t="shared" si="23"/>
        <v>9101001600</v>
      </c>
      <c r="D744" s="455" t="e">
        <f>VLOOKUP(G744,Table!$G$3:$H$21,2,FALSE)</f>
        <v>#N/A</v>
      </c>
      <c r="E744" s="452" t="s">
        <v>902</v>
      </c>
      <c r="F744" s="452" t="s">
        <v>1282</v>
      </c>
      <c r="G744" s="452" t="s">
        <v>1060</v>
      </c>
      <c r="H744" s="452" t="s">
        <v>1061</v>
      </c>
      <c r="I744" s="453" t="s">
        <v>844</v>
      </c>
      <c r="J744" s="453">
        <v>3264.03</v>
      </c>
      <c r="K744" s="461">
        <v>1088.01</v>
      </c>
      <c r="L744" s="461">
        <v>1088.01</v>
      </c>
      <c r="M744" s="461">
        <v>1088.01</v>
      </c>
      <c r="N744" s="461">
        <v>0</v>
      </c>
      <c r="O744" s="461">
        <v>0</v>
      </c>
      <c r="P744" s="461">
        <v>0</v>
      </c>
      <c r="Q744" s="461">
        <v>0</v>
      </c>
      <c r="R744" s="461">
        <v>0</v>
      </c>
      <c r="S744" s="461">
        <v>0</v>
      </c>
      <c r="T744" s="461">
        <v>0</v>
      </c>
      <c r="U744" s="461">
        <v>0</v>
      </c>
      <c r="V744" s="461">
        <v>0</v>
      </c>
    </row>
    <row r="745" spans="1:22" s="455" customFormat="1" hidden="1">
      <c r="A745" s="455" t="str">
        <f t="shared" si="22"/>
        <v>11709101001700</v>
      </c>
      <c r="B745" s="455">
        <f>VLOOKUP(LEFT($C$3:$C$2600,3),Table!$D$2:$E$88,2,FALSE)</f>
        <v>0</v>
      </c>
      <c r="C745" s="455" t="str">
        <f t="shared" si="23"/>
        <v>9101001700</v>
      </c>
      <c r="D745" s="455" t="e">
        <f>VLOOKUP(G745,Table!$G$3:$H$21,2,FALSE)</f>
        <v>#N/A</v>
      </c>
      <c r="E745" s="452" t="s">
        <v>902</v>
      </c>
      <c r="F745" s="452" t="s">
        <v>1282</v>
      </c>
      <c r="G745" s="452" t="s">
        <v>1062</v>
      </c>
      <c r="H745" s="452" t="s">
        <v>1063</v>
      </c>
      <c r="I745" s="453" t="s">
        <v>844</v>
      </c>
      <c r="J745" s="453">
        <v>-5683.04</v>
      </c>
      <c r="K745" s="461">
        <v>210.41</v>
      </c>
      <c r="L745" s="461">
        <v>156.82</v>
      </c>
      <c r="M745" s="461">
        <v>163.75</v>
      </c>
      <c r="N745" s="461">
        <v>0</v>
      </c>
      <c r="O745" s="461">
        <v>0</v>
      </c>
      <c r="P745" s="461">
        <v>0</v>
      </c>
      <c r="Q745" s="461">
        <v>0</v>
      </c>
      <c r="R745" s="461">
        <v>0</v>
      </c>
      <c r="S745" s="461">
        <v>0</v>
      </c>
      <c r="T745" s="461">
        <v>0</v>
      </c>
      <c r="U745" s="461">
        <v>0</v>
      </c>
      <c r="V745" s="461">
        <v>0</v>
      </c>
    </row>
    <row r="746" spans="1:22" s="455" customFormat="1" hidden="1">
      <c r="A746" s="455" t="str">
        <f t="shared" si="22"/>
        <v>11709101001800</v>
      </c>
      <c r="B746" s="455">
        <f>VLOOKUP(LEFT($C$3:$C$2600,3),Table!$D$2:$E$88,2,FALSE)</f>
        <v>0</v>
      </c>
      <c r="C746" s="455" t="str">
        <f t="shared" si="23"/>
        <v>9101001800</v>
      </c>
      <c r="D746" s="455" t="e">
        <f>VLOOKUP(G746,Table!$G$3:$H$21,2,FALSE)</f>
        <v>#N/A</v>
      </c>
      <c r="E746" s="452" t="s">
        <v>902</v>
      </c>
      <c r="F746" s="452" t="s">
        <v>1282</v>
      </c>
      <c r="G746" s="452" t="s">
        <v>1064</v>
      </c>
      <c r="H746" s="452" t="s">
        <v>1065</v>
      </c>
      <c r="I746" s="453" t="s">
        <v>844</v>
      </c>
      <c r="J746" s="453">
        <v>596.79999999999995</v>
      </c>
      <c r="K746" s="461">
        <v>221</v>
      </c>
      <c r="L746" s="461">
        <v>184.9</v>
      </c>
      <c r="M746" s="461">
        <v>190.9</v>
      </c>
      <c r="N746" s="461">
        <v>0</v>
      </c>
      <c r="O746" s="461">
        <v>0</v>
      </c>
      <c r="P746" s="461">
        <v>0</v>
      </c>
      <c r="Q746" s="461">
        <v>0</v>
      </c>
      <c r="R746" s="461">
        <v>0</v>
      </c>
      <c r="S746" s="461">
        <v>0</v>
      </c>
      <c r="T746" s="461">
        <v>0</v>
      </c>
      <c r="U746" s="461">
        <v>0</v>
      </c>
      <c r="V746" s="461">
        <v>0</v>
      </c>
    </row>
    <row r="747" spans="1:22" s="455" customFormat="1" hidden="1">
      <c r="A747" s="455" t="str">
        <f t="shared" si="22"/>
        <v>11709101001900</v>
      </c>
      <c r="B747" s="455">
        <f>VLOOKUP(LEFT($C$3:$C$2600,3),Table!$D$2:$E$88,2,FALSE)</f>
        <v>0</v>
      </c>
      <c r="C747" s="455" t="str">
        <f t="shared" si="23"/>
        <v>9101001900</v>
      </c>
      <c r="D747" s="455" t="e">
        <f>VLOOKUP(G747,Table!$G$3:$H$21,2,FALSE)</f>
        <v>#N/A</v>
      </c>
      <c r="E747" s="452" t="s">
        <v>902</v>
      </c>
      <c r="F747" s="452" t="s">
        <v>1282</v>
      </c>
      <c r="G747" s="452" t="s">
        <v>1066</v>
      </c>
      <c r="H747" s="452" t="s">
        <v>1007</v>
      </c>
      <c r="I747" s="453" t="s">
        <v>844</v>
      </c>
      <c r="J747" s="453">
        <v>157.22999999999999</v>
      </c>
      <c r="K747" s="461">
        <v>52.41</v>
      </c>
      <c r="L747" s="461">
        <v>52.41</v>
      </c>
      <c r="M747" s="461">
        <v>52.41</v>
      </c>
      <c r="N747" s="461">
        <v>0</v>
      </c>
      <c r="O747" s="461">
        <v>0</v>
      </c>
      <c r="P747" s="461">
        <v>0</v>
      </c>
      <c r="Q747" s="461">
        <v>0</v>
      </c>
      <c r="R747" s="461">
        <v>0</v>
      </c>
      <c r="S747" s="461">
        <v>0</v>
      </c>
      <c r="T747" s="461">
        <v>0</v>
      </c>
      <c r="U747" s="461">
        <v>0</v>
      </c>
      <c r="V747" s="461">
        <v>0</v>
      </c>
    </row>
    <row r="748" spans="1:22" s="455" customFormat="1" hidden="1">
      <c r="A748" s="455" t="str">
        <f t="shared" si="22"/>
        <v>11709101101000</v>
      </c>
      <c r="B748" s="455">
        <f>VLOOKUP(LEFT($C$3:$C$2600,3),Table!$D$2:$E$88,2,FALSE)</f>
        <v>0</v>
      </c>
      <c r="C748" s="455" t="str">
        <f t="shared" si="23"/>
        <v>9101101000</v>
      </c>
      <c r="D748" s="455" t="e">
        <f>VLOOKUP(G748,Table!$G$3:$H$21,2,FALSE)</f>
        <v>#N/A</v>
      </c>
      <c r="E748" s="452" t="s">
        <v>902</v>
      </c>
      <c r="F748" s="452" t="s">
        <v>1282</v>
      </c>
      <c r="G748" s="452" t="s">
        <v>1067</v>
      </c>
      <c r="H748" s="452" t="s">
        <v>1068</v>
      </c>
      <c r="I748" s="453" t="s">
        <v>844</v>
      </c>
      <c r="J748" s="453">
        <v>25658.59</v>
      </c>
      <c r="K748" s="461">
        <v>8864.83</v>
      </c>
      <c r="L748" s="461">
        <v>9079.65</v>
      </c>
      <c r="M748" s="461">
        <v>9135.7199999999993</v>
      </c>
      <c r="N748" s="461">
        <v>0</v>
      </c>
      <c r="O748" s="461">
        <v>0</v>
      </c>
      <c r="P748" s="461">
        <v>0</v>
      </c>
      <c r="Q748" s="461">
        <v>0</v>
      </c>
      <c r="R748" s="461">
        <v>0</v>
      </c>
      <c r="S748" s="461">
        <v>0</v>
      </c>
      <c r="T748" s="461">
        <v>0</v>
      </c>
      <c r="U748" s="461">
        <v>0</v>
      </c>
      <c r="V748" s="461">
        <v>0</v>
      </c>
    </row>
    <row r="749" spans="1:22" s="455" customFormat="1" hidden="1">
      <c r="A749" s="455" t="str">
        <f t="shared" si="22"/>
        <v>11709101101100</v>
      </c>
      <c r="B749" s="455">
        <f>VLOOKUP(LEFT($C$3:$C$2600,3),Table!$D$2:$E$88,2,FALSE)</f>
        <v>0</v>
      </c>
      <c r="C749" s="455" t="str">
        <f t="shared" si="23"/>
        <v>9101101100</v>
      </c>
      <c r="D749" s="455" t="e">
        <f>VLOOKUP(G749,Table!$G$3:$H$21,2,FALSE)</f>
        <v>#N/A</v>
      </c>
      <c r="E749" s="452" t="s">
        <v>902</v>
      </c>
      <c r="F749" s="452" t="s">
        <v>1282</v>
      </c>
      <c r="G749" s="452" t="s">
        <v>1069</v>
      </c>
      <c r="H749" s="452" t="s">
        <v>1070</v>
      </c>
      <c r="I749" s="453" t="s">
        <v>844</v>
      </c>
      <c r="J749" s="453">
        <v>12388.27</v>
      </c>
      <c r="K749" s="461">
        <v>6056.98</v>
      </c>
      <c r="L749" s="461">
        <v>3040.24</v>
      </c>
      <c r="M749" s="461">
        <v>3977.06</v>
      </c>
      <c r="N749" s="461">
        <v>0</v>
      </c>
      <c r="O749" s="461">
        <v>0</v>
      </c>
      <c r="P749" s="461">
        <v>0</v>
      </c>
      <c r="Q749" s="461">
        <v>0</v>
      </c>
      <c r="R749" s="461">
        <v>0</v>
      </c>
      <c r="S749" s="461">
        <v>0</v>
      </c>
      <c r="T749" s="461">
        <v>0</v>
      </c>
      <c r="U749" s="461">
        <v>0</v>
      </c>
      <c r="V749" s="461">
        <v>0</v>
      </c>
    </row>
    <row r="750" spans="1:22" s="455" customFormat="1" hidden="1">
      <c r="A750" s="455" t="str">
        <f t="shared" si="22"/>
        <v>11709101101200</v>
      </c>
      <c r="B750" s="455">
        <f>VLOOKUP(LEFT($C$3:$C$2600,3),Table!$D$2:$E$88,2,FALSE)</f>
        <v>0</v>
      </c>
      <c r="C750" s="455" t="str">
        <f t="shared" si="23"/>
        <v>9101101200</v>
      </c>
      <c r="D750" s="455" t="e">
        <f>VLOOKUP(G750,Table!$G$3:$H$21,2,FALSE)</f>
        <v>#N/A</v>
      </c>
      <c r="E750" s="452" t="s">
        <v>902</v>
      </c>
      <c r="F750" s="452" t="s">
        <v>1282</v>
      </c>
      <c r="G750" s="452" t="s">
        <v>1071</v>
      </c>
      <c r="H750" s="452" t="s">
        <v>1072</v>
      </c>
      <c r="I750" s="453" t="s">
        <v>844</v>
      </c>
      <c r="J750" s="453">
        <v>3761.92</v>
      </c>
      <c r="K750" s="461">
        <v>1353.27</v>
      </c>
      <c r="L750" s="461">
        <v>1142.3800000000001</v>
      </c>
      <c r="M750" s="461">
        <v>1266.27</v>
      </c>
      <c r="N750" s="461">
        <v>0</v>
      </c>
      <c r="O750" s="461">
        <v>0</v>
      </c>
      <c r="P750" s="461">
        <v>0</v>
      </c>
      <c r="Q750" s="461">
        <v>0</v>
      </c>
      <c r="R750" s="461">
        <v>0</v>
      </c>
      <c r="S750" s="461">
        <v>0</v>
      </c>
      <c r="T750" s="461">
        <v>0</v>
      </c>
      <c r="U750" s="461">
        <v>0</v>
      </c>
      <c r="V750" s="461">
        <v>0</v>
      </c>
    </row>
    <row r="751" spans="1:22" s="455" customFormat="1" hidden="1">
      <c r="A751" s="455" t="str">
        <f t="shared" si="22"/>
        <v>11709101101400</v>
      </c>
      <c r="B751" s="455">
        <f>VLOOKUP(LEFT($C$3:$C$2600,3),Table!$D$2:$E$88,2,FALSE)</f>
        <v>0</v>
      </c>
      <c r="C751" s="455" t="str">
        <f t="shared" si="23"/>
        <v>9101101400</v>
      </c>
      <c r="D751" s="455" t="e">
        <f>VLOOKUP(G751,Table!$G$3:$H$21,2,FALSE)</f>
        <v>#N/A</v>
      </c>
      <c r="E751" s="452" t="s">
        <v>902</v>
      </c>
      <c r="F751" s="452" t="s">
        <v>1282</v>
      </c>
      <c r="G751" s="452" t="s">
        <v>1075</v>
      </c>
      <c r="H751" s="452" t="s">
        <v>1076</v>
      </c>
      <c r="I751" s="453" t="s">
        <v>844</v>
      </c>
      <c r="J751" s="453">
        <v>3106</v>
      </c>
      <c r="K751" s="461">
        <v>1025</v>
      </c>
      <c r="L751" s="461">
        <v>1019</v>
      </c>
      <c r="M751" s="461">
        <v>1062</v>
      </c>
      <c r="N751" s="461">
        <v>0</v>
      </c>
      <c r="O751" s="461">
        <v>0</v>
      </c>
      <c r="P751" s="461">
        <v>0</v>
      </c>
      <c r="Q751" s="461">
        <v>0</v>
      </c>
      <c r="R751" s="461">
        <v>0</v>
      </c>
      <c r="S751" s="461">
        <v>0</v>
      </c>
      <c r="T751" s="461">
        <v>0</v>
      </c>
      <c r="U751" s="461">
        <v>0</v>
      </c>
      <c r="V751" s="461">
        <v>0</v>
      </c>
    </row>
    <row r="752" spans="1:22" s="455" customFormat="1" hidden="1">
      <c r="A752" s="455" t="str">
        <f t="shared" si="22"/>
        <v>11709101101410</v>
      </c>
      <c r="B752" s="455">
        <f>VLOOKUP(LEFT($C$3:$C$2600,3),Table!$D$2:$E$88,2,FALSE)</f>
        <v>0</v>
      </c>
      <c r="C752" s="455" t="str">
        <f t="shared" si="23"/>
        <v>9101101410</v>
      </c>
      <c r="D752" s="455" t="e">
        <f>VLOOKUP(G752,Table!$G$3:$H$21,2,FALSE)</f>
        <v>#N/A</v>
      </c>
      <c r="E752" s="452" t="s">
        <v>902</v>
      </c>
      <c r="F752" s="452" t="s">
        <v>1282</v>
      </c>
      <c r="G752" s="452" t="s">
        <v>1077</v>
      </c>
      <c r="H752" s="452" t="s">
        <v>1078</v>
      </c>
      <c r="I752" s="453" t="s">
        <v>844</v>
      </c>
      <c r="J752" s="453">
        <v>60</v>
      </c>
      <c r="K752" s="461">
        <v>30</v>
      </c>
      <c r="L752" s="461">
        <v>30</v>
      </c>
      <c r="M752" s="461">
        <v>0</v>
      </c>
      <c r="N752" s="461">
        <v>0</v>
      </c>
      <c r="O752" s="461">
        <v>0</v>
      </c>
      <c r="P752" s="461">
        <v>0</v>
      </c>
      <c r="Q752" s="461">
        <v>0</v>
      </c>
      <c r="R752" s="461">
        <v>0</v>
      </c>
      <c r="S752" s="461">
        <v>0</v>
      </c>
      <c r="T752" s="461">
        <v>0</v>
      </c>
      <c r="U752" s="461">
        <v>0</v>
      </c>
      <c r="V752" s="461">
        <v>0</v>
      </c>
    </row>
    <row r="753" spans="1:22" s="455" customFormat="1" hidden="1">
      <c r="A753" s="455" t="str">
        <f t="shared" si="22"/>
        <v>11709101101500</v>
      </c>
      <c r="B753" s="455">
        <f>VLOOKUP(LEFT($C$3:$C$2600,3),Table!$D$2:$E$88,2,FALSE)</f>
        <v>0</v>
      </c>
      <c r="C753" s="455" t="str">
        <f t="shared" si="23"/>
        <v>9101101500</v>
      </c>
      <c r="D753" s="455" t="e">
        <f>VLOOKUP(G753,Table!$G$3:$H$21,2,FALSE)</f>
        <v>#N/A</v>
      </c>
      <c r="E753" s="452" t="s">
        <v>902</v>
      </c>
      <c r="F753" s="452" t="s">
        <v>1282</v>
      </c>
      <c r="G753" s="452" t="s">
        <v>1079</v>
      </c>
      <c r="H753" s="452" t="s">
        <v>1080</v>
      </c>
      <c r="I753" s="453" t="s">
        <v>844</v>
      </c>
      <c r="J753" s="453">
        <v>504.1</v>
      </c>
      <c r="K753" s="461">
        <v>173.3</v>
      </c>
      <c r="L753" s="461">
        <v>162.69999999999999</v>
      </c>
      <c r="M753" s="461">
        <v>168.1</v>
      </c>
      <c r="N753" s="461">
        <v>0</v>
      </c>
      <c r="O753" s="461">
        <v>0</v>
      </c>
      <c r="P753" s="461">
        <v>0</v>
      </c>
      <c r="Q753" s="461">
        <v>0</v>
      </c>
      <c r="R753" s="461">
        <v>0</v>
      </c>
      <c r="S753" s="461">
        <v>0</v>
      </c>
      <c r="T753" s="461">
        <v>0</v>
      </c>
      <c r="U753" s="461">
        <v>0</v>
      </c>
      <c r="V753" s="461">
        <v>0</v>
      </c>
    </row>
    <row r="754" spans="1:22" s="455" customFormat="1" hidden="1">
      <c r="A754" s="455" t="str">
        <f t="shared" si="22"/>
        <v>11709101101600</v>
      </c>
      <c r="B754" s="455">
        <f>VLOOKUP(LEFT($C$3:$C$2600,3),Table!$D$2:$E$88,2,FALSE)</f>
        <v>0</v>
      </c>
      <c r="C754" s="455" t="str">
        <f t="shared" si="23"/>
        <v>9101101600</v>
      </c>
      <c r="D754" s="455" t="e">
        <f>VLOOKUP(G754,Table!$G$3:$H$21,2,FALSE)</f>
        <v>#N/A</v>
      </c>
      <c r="E754" s="452" t="s">
        <v>902</v>
      </c>
      <c r="F754" s="452" t="s">
        <v>1282</v>
      </c>
      <c r="G754" s="452" t="s">
        <v>1081</v>
      </c>
      <c r="H754" s="452" t="s">
        <v>1082</v>
      </c>
      <c r="I754" s="453" t="s">
        <v>844</v>
      </c>
      <c r="J754" s="453">
        <v>6944.19</v>
      </c>
      <c r="K754" s="461">
        <v>2314.73</v>
      </c>
      <c r="L754" s="461">
        <v>2314.73</v>
      </c>
      <c r="M754" s="461">
        <v>2314.73</v>
      </c>
      <c r="N754" s="461">
        <v>0</v>
      </c>
      <c r="O754" s="461">
        <v>0</v>
      </c>
      <c r="P754" s="461">
        <v>0</v>
      </c>
      <c r="Q754" s="461">
        <v>0</v>
      </c>
      <c r="R754" s="461">
        <v>0</v>
      </c>
      <c r="S754" s="461">
        <v>0</v>
      </c>
      <c r="T754" s="461">
        <v>0</v>
      </c>
      <c r="U754" s="461">
        <v>0</v>
      </c>
      <c r="V754" s="461">
        <v>0</v>
      </c>
    </row>
    <row r="755" spans="1:22" s="455" customFormat="1" hidden="1">
      <c r="A755" s="455" t="str">
        <f t="shared" si="22"/>
        <v>11709101101700</v>
      </c>
      <c r="B755" s="455">
        <f>VLOOKUP(LEFT($C$3:$C$2600,3),Table!$D$2:$E$88,2,FALSE)</f>
        <v>0</v>
      </c>
      <c r="C755" s="455" t="str">
        <f t="shared" si="23"/>
        <v>9101101700</v>
      </c>
      <c r="D755" s="455" t="e">
        <f>VLOOKUP(G755,Table!$G$3:$H$21,2,FALSE)</f>
        <v>#N/A</v>
      </c>
      <c r="E755" s="452" t="s">
        <v>902</v>
      </c>
      <c r="F755" s="452" t="s">
        <v>1282</v>
      </c>
      <c r="G755" s="452" t="s">
        <v>1083</v>
      </c>
      <c r="H755" s="452" t="s">
        <v>1084</v>
      </c>
      <c r="I755" s="453" t="s">
        <v>844</v>
      </c>
      <c r="J755" s="453">
        <v>-8138.24</v>
      </c>
      <c r="K755" s="461">
        <v>-302.04000000000002</v>
      </c>
      <c r="L755" s="461">
        <v>387.45</v>
      </c>
      <c r="M755" s="461">
        <v>227.65</v>
      </c>
      <c r="N755" s="461">
        <v>0</v>
      </c>
      <c r="O755" s="461">
        <v>0</v>
      </c>
      <c r="P755" s="461">
        <v>0</v>
      </c>
      <c r="Q755" s="461">
        <v>0</v>
      </c>
      <c r="R755" s="461">
        <v>0</v>
      </c>
      <c r="S755" s="461">
        <v>0</v>
      </c>
      <c r="T755" s="461">
        <v>0</v>
      </c>
      <c r="U755" s="461">
        <v>0</v>
      </c>
      <c r="V755" s="461">
        <v>0</v>
      </c>
    </row>
    <row r="756" spans="1:22" s="455" customFormat="1" hidden="1">
      <c r="A756" s="455" t="str">
        <f t="shared" si="22"/>
        <v>11709101101800</v>
      </c>
      <c r="B756" s="455">
        <f>VLOOKUP(LEFT($C$3:$C$2600,3),Table!$D$2:$E$88,2,FALSE)</f>
        <v>0</v>
      </c>
      <c r="C756" s="455" t="str">
        <f t="shared" si="23"/>
        <v>9101101800</v>
      </c>
      <c r="D756" s="455" t="e">
        <f>VLOOKUP(G756,Table!$G$3:$H$21,2,FALSE)</f>
        <v>#N/A</v>
      </c>
      <c r="E756" s="452" t="s">
        <v>902</v>
      </c>
      <c r="F756" s="452" t="s">
        <v>1282</v>
      </c>
      <c r="G756" s="452" t="s">
        <v>1085</v>
      </c>
      <c r="H756" s="452" t="s">
        <v>1086</v>
      </c>
      <c r="I756" s="453" t="s">
        <v>844</v>
      </c>
      <c r="J756" s="453">
        <v>3582</v>
      </c>
      <c r="K756" s="461">
        <v>1359.9</v>
      </c>
      <c r="L756" s="461">
        <v>1049.5</v>
      </c>
      <c r="M756" s="461">
        <v>1172.5999999999999</v>
      </c>
      <c r="N756" s="461">
        <v>0</v>
      </c>
      <c r="O756" s="461">
        <v>0</v>
      </c>
      <c r="P756" s="461">
        <v>0</v>
      </c>
      <c r="Q756" s="461">
        <v>0</v>
      </c>
      <c r="R756" s="461">
        <v>0</v>
      </c>
      <c r="S756" s="461">
        <v>0</v>
      </c>
      <c r="T756" s="461">
        <v>0</v>
      </c>
      <c r="U756" s="461">
        <v>0</v>
      </c>
      <c r="V756" s="461">
        <v>0</v>
      </c>
    </row>
    <row r="757" spans="1:22" s="455" customFormat="1" hidden="1">
      <c r="A757" s="455" t="str">
        <f t="shared" si="22"/>
        <v>11709101101900</v>
      </c>
      <c r="B757" s="455">
        <f>VLOOKUP(LEFT($C$3:$C$2600,3),Table!$D$2:$E$88,2,FALSE)</f>
        <v>0</v>
      </c>
      <c r="C757" s="455" t="str">
        <f t="shared" si="23"/>
        <v>9101101900</v>
      </c>
      <c r="D757" s="455" t="e">
        <f>VLOOKUP(G757,Table!$G$3:$H$21,2,FALSE)</f>
        <v>#N/A</v>
      </c>
      <c r="E757" s="452" t="s">
        <v>902</v>
      </c>
      <c r="F757" s="452" t="s">
        <v>1282</v>
      </c>
      <c r="G757" s="452" t="s">
        <v>1087</v>
      </c>
      <c r="H757" s="452" t="s">
        <v>1088</v>
      </c>
      <c r="I757" s="453" t="s">
        <v>844</v>
      </c>
      <c r="J757" s="453">
        <v>314.26</v>
      </c>
      <c r="K757" s="461">
        <v>104.51</v>
      </c>
      <c r="L757" s="461">
        <v>102.43</v>
      </c>
      <c r="M757" s="461">
        <v>107.32</v>
      </c>
      <c r="N757" s="461">
        <v>0</v>
      </c>
      <c r="O757" s="461">
        <v>0</v>
      </c>
      <c r="P757" s="461">
        <v>0</v>
      </c>
      <c r="Q757" s="461">
        <v>0</v>
      </c>
      <c r="R757" s="461">
        <v>0</v>
      </c>
      <c r="S757" s="461">
        <v>0</v>
      </c>
      <c r="T757" s="461">
        <v>0</v>
      </c>
      <c r="U757" s="461">
        <v>0</v>
      </c>
      <c r="V757" s="461">
        <v>0</v>
      </c>
    </row>
    <row r="758" spans="1:22" s="455" customFormat="1" hidden="1">
      <c r="A758" s="455" t="str">
        <f t="shared" si="22"/>
        <v>11709101201000</v>
      </c>
      <c r="B758" s="455">
        <f>VLOOKUP(LEFT($C$3:$C$2600,3),Table!$D$2:$E$88,2,FALSE)</f>
        <v>0</v>
      </c>
      <c r="C758" s="455" t="str">
        <f t="shared" si="23"/>
        <v>9101201000</v>
      </c>
      <c r="D758" s="455" t="e">
        <f>VLOOKUP(G758,Table!$G$3:$H$21,2,FALSE)</f>
        <v>#N/A</v>
      </c>
      <c r="E758" s="452" t="s">
        <v>902</v>
      </c>
      <c r="F758" s="452" t="s">
        <v>1282</v>
      </c>
      <c r="G758" s="452" t="s">
        <v>1091</v>
      </c>
      <c r="H758" s="452" t="s">
        <v>1092</v>
      </c>
      <c r="I758" s="453" t="s">
        <v>844</v>
      </c>
      <c r="J758" s="453">
        <v>17492</v>
      </c>
      <c r="K758" s="461">
        <v>5183</v>
      </c>
      <c r="L758" s="461">
        <v>6144</v>
      </c>
      <c r="M758" s="461">
        <v>6165</v>
      </c>
      <c r="N758" s="461">
        <v>0</v>
      </c>
      <c r="O758" s="461">
        <v>0</v>
      </c>
      <c r="P758" s="461">
        <v>0</v>
      </c>
      <c r="Q758" s="461">
        <v>0</v>
      </c>
      <c r="R758" s="461">
        <v>0</v>
      </c>
      <c r="S758" s="461">
        <v>0</v>
      </c>
      <c r="T758" s="461">
        <v>0</v>
      </c>
      <c r="U758" s="461">
        <v>0</v>
      </c>
      <c r="V758" s="461">
        <v>0</v>
      </c>
    </row>
    <row r="759" spans="1:22" s="455" customFormat="1" hidden="1">
      <c r="A759" s="455" t="str">
        <f t="shared" si="22"/>
        <v>11709101301000</v>
      </c>
      <c r="B759" s="455">
        <f>VLOOKUP(LEFT($C$3:$C$2600,3),Table!$D$2:$E$88,2,FALSE)</f>
        <v>0</v>
      </c>
      <c r="C759" s="455" t="str">
        <f t="shared" si="23"/>
        <v>9101301000</v>
      </c>
      <c r="D759" s="455" t="e">
        <f>VLOOKUP(G759,Table!$G$3:$H$21,2,FALSE)</f>
        <v>#N/A</v>
      </c>
      <c r="E759" s="452" t="s">
        <v>902</v>
      </c>
      <c r="F759" s="452" t="s">
        <v>1282</v>
      </c>
      <c r="G759" s="452" t="s">
        <v>967</v>
      </c>
      <c r="H759" s="452" t="s">
        <v>968</v>
      </c>
      <c r="I759" s="453" t="s">
        <v>844</v>
      </c>
      <c r="J759" s="453">
        <v>4347</v>
      </c>
      <c r="K759" s="461">
        <v>861</v>
      </c>
      <c r="L759" s="461">
        <v>1722</v>
      </c>
      <c r="M759" s="461">
        <v>1764</v>
      </c>
      <c r="N759" s="461">
        <v>0</v>
      </c>
      <c r="O759" s="461">
        <v>0</v>
      </c>
      <c r="P759" s="461">
        <v>0</v>
      </c>
      <c r="Q759" s="461">
        <v>0</v>
      </c>
      <c r="R759" s="461">
        <v>0</v>
      </c>
      <c r="S759" s="461">
        <v>0</v>
      </c>
      <c r="T759" s="461">
        <v>0</v>
      </c>
      <c r="U759" s="461">
        <v>0</v>
      </c>
      <c r="V759" s="461">
        <v>0</v>
      </c>
    </row>
    <row r="760" spans="1:22" s="455" customFormat="1" hidden="1">
      <c r="A760" s="455" t="str">
        <f t="shared" si="22"/>
        <v>11709101301500</v>
      </c>
      <c r="B760" s="455">
        <f>VLOOKUP(LEFT($C$3:$C$2600,3),Table!$D$2:$E$88,2,FALSE)</f>
        <v>0</v>
      </c>
      <c r="C760" s="455" t="str">
        <f t="shared" si="23"/>
        <v>9101301500</v>
      </c>
      <c r="D760" s="455" t="e">
        <f>VLOOKUP(G760,Table!$G$3:$H$21,2,FALSE)</f>
        <v>#N/A</v>
      </c>
      <c r="E760" s="452" t="s">
        <v>902</v>
      </c>
      <c r="F760" s="452" t="s">
        <v>1282</v>
      </c>
      <c r="G760" s="452" t="s">
        <v>971</v>
      </c>
      <c r="H760" s="452" t="s">
        <v>972</v>
      </c>
      <c r="I760" s="453" t="s">
        <v>844</v>
      </c>
      <c r="J760" s="453">
        <v>5046.0600000000004</v>
      </c>
      <c r="K760" s="461">
        <v>1708.56</v>
      </c>
      <c r="L760" s="461">
        <v>1796.7</v>
      </c>
      <c r="M760" s="461">
        <v>1540.8</v>
      </c>
      <c r="N760" s="461">
        <v>0</v>
      </c>
      <c r="O760" s="461">
        <v>0</v>
      </c>
      <c r="P760" s="461">
        <v>0</v>
      </c>
      <c r="Q760" s="461">
        <v>0</v>
      </c>
      <c r="R760" s="461">
        <v>0</v>
      </c>
      <c r="S760" s="461">
        <v>0</v>
      </c>
      <c r="T760" s="461">
        <v>0</v>
      </c>
      <c r="U760" s="461">
        <v>0</v>
      </c>
      <c r="V760" s="461">
        <v>0</v>
      </c>
    </row>
    <row r="761" spans="1:22" s="455" customFormat="1" hidden="1">
      <c r="A761" s="455" t="str">
        <f t="shared" si="22"/>
        <v>11709101302500</v>
      </c>
      <c r="B761" s="455">
        <f>VLOOKUP(LEFT($C$3:$C$2600,3),Table!$D$2:$E$88,2,FALSE)</f>
        <v>0</v>
      </c>
      <c r="C761" s="455" t="str">
        <f t="shared" si="23"/>
        <v>9101302500</v>
      </c>
      <c r="D761" s="455" t="e">
        <f>VLOOKUP(G761,Table!$G$3:$H$21,2,FALSE)</f>
        <v>#N/A</v>
      </c>
      <c r="E761" s="452" t="s">
        <v>902</v>
      </c>
      <c r="F761" s="452" t="s">
        <v>1282</v>
      </c>
      <c r="G761" s="452" t="s">
        <v>973</v>
      </c>
      <c r="H761" s="452" t="s">
        <v>974</v>
      </c>
      <c r="I761" s="453" t="s">
        <v>844</v>
      </c>
      <c r="J761" s="453">
        <v>73467.86</v>
      </c>
      <c r="K761" s="461">
        <v>20421.150000000001</v>
      </c>
      <c r="L761" s="461">
        <v>26582.25</v>
      </c>
      <c r="M761" s="461">
        <v>26800.959999999999</v>
      </c>
      <c r="N761" s="461">
        <v>0</v>
      </c>
      <c r="O761" s="461">
        <v>0</v>
      </c>
      <c r="P761" s="461">
        <v>0</v>
      </c>
      <c r="Q761" s="461">
        <v>0</v>
      </c>
      <c r="R761" s="461">
        <v>0</v>
      </c>
      <c r="S761" s="461">
        <v>0</v>
      </c>
      <c r="T761" s="461">
        <v>0</v>
      </c>
      <c r="U761" s="461">
        <v>0</v>
      </c>
      <c r="V761" s="461">
        <v>0</v>
      </c>
    </row>
    <row r="762" spans="1:22" s="455" customFormat="1" hidden="1">
      <c r="A762" s="455" t="str">
        <f t="shared" si="22"/>
        <v>11709101303900</v>
      </c>
      <c r="B762" s="455">
        <f>VLOOKUP(LEFT($C$3:$C$2600,3),Table!$D$2:$E$88,2,FALSE)</f>
        <v>0</v>
      </c>
      <c r="C762" s="455" t="str">
        <f t="shared" si="23"/>
        <v>9101303900</v>
      </c>
      <c r="D762" s="455" t="e">
        <f>VLOOKUP(G762,Table!$G$3:$H$21,2,FALSE)</f>
        <v>#N/A</v>
      </c>
      <c r="E762" s="452" t="s">
        <v>902</v>
      </c>
      <c r="F762" s="452" t="s">
        <v>1282</v>
      </c>
      <c r="G762" s="452" t="s">
        <v>979</v>
      </c>
      <c r="H762" s="452" t="s">
        <v>980</v>
      </c>
      <c r="I762" s="453" t="s">
        <v>844</v>
      </c>
      <c r="J762" s="453">
        <v>20545.47</v>
      </c>
      <c r="K762" s="461">
        <v>6253.28</v>
      </c>
      <c r="L762" s="461">
        <v>6825.94</v>
      </c>
      <c r="M762" s="461">
        <v>7466.25</v>
      </c>
      <c r="N762" s="461">
        <v>0</v>
      </c>
      <c r="O762" s="461">
        <v>0</v>
      </c>
      <c r="P762" s="461">
        <v>0</v>
      </c>
      <c r="Q762" s="461">
        <v>0</v>
      </c>
      <c r="R762" s="461">
        <v>0</v>
      </c>
      <c r="S762" s="461">
        <v>0</v>
      </c>
      <c r="T762" s="461">
        <v>0</v>
      </c>
      <c r="U762" s="461">
        <v>0</v>
      </c>
      <c r="V762" s="461">
        <v>0</v>
      </c>
    </row>
    <row r="763" spans="1:22" s="455" customFormat="1" hidden="1">
      <c r="A763" s="455" t="str">
        <f t="shared" si="22"/>
        <v>11709101400000</v>
      </c>
      <c r="B763" s="455">
        <f>VLOOKUP(LEFT($C$3:$C$2600,3),Table!$D$2:$E$88,2,FALSE)</f>
        <v>0</v>
      </c>
      <c r="C763" s="455" t="str">
        <f t="shared" si="23"/>
        <v>9101400000</v>
      </c>
      <c r="D763" s="455" t="e">
        <f>VLOOKUP(G763,Table!$G$3:$H$21,2,FALSE)</f>
        <v>#N/A</v>
      </c>
      <c r="E763" s="452" t="s">
        <v>902</v>
      </c>
      <c r="F763" s="452" t="s">
        <v>1282</v>
      </c>
      <c r="G763" s="452" t="s">
        <v>1283</v>
      </c>
      <c r="H763" s="452" t="s">
        <v>1284</v>
      </c>
      <c r="I763" s="453" t="s">
        <v>844</v>
      </c>
      <c r="J763" s="453">
        <v>10415.61</v>
      </c>
      <c r="K763" s="461">
        <v>9389.61</v>
      </c>
      <c r="L763" s="461">
        <v>54</v>
      </c>
      <c r="M763" s="461">
        <v>2152</v>
      </c>
      <c r="N763" s="461">
        <v>0</v>
      </c>
      <c r="O763" s="461">
        <v>0</v>
      </c>
      <c r="P763" s="461">
        <v>0</v>
      </c>
      <c r="Q763" s="461">
        <v>0</v>
      </c>
      <c r="R763" s="461">
        <v>0</v>
      </c>
      <c r="S763" s="461">
        <v>0</v>
      </c>
      <c r="T763" s="461">
        <v>0</v>
      </c>
      <c r="U763" s="461">
        <v>0</v>
      </c>
      <c r="V763" s="461">
        <v>0</v>
      </c>
    </row>
    <row r="764" spans="1:22" s="455" customFormat="1" hidden="1">
      <c r="A764" s="455" t="str">
        <f t="shared" si="22"/>
        <v>11709101401000</v>
      </c>
      <c r="B764" s="455">
        <f>VLOOKUP(LEFT($C$3:$C$2600,3),Table!$D$2:$E$88,2,FALSE)</f>
        <v>0</v>
      </c>
      <c r="C764" s="455" t="str">
        <f t="shared" si="23"/>
        <v>9101401000</v>
      </c>
      <c r="D764" s="455" t="e">
        <f>VLOOKUP(G764,Table!$G$3:$H$21,2,FALSE)</f>
        <v>#N/A</v>
      </c>
      <c r="E764" s="452" t="s">
        <v>902</v>
      </c>
      <c r="F764" s="452" t="s">
        <v>1282</v>
      </c>
      <c r="G764" s="452" t="s">
        <v>1285</v>
      </c>
      <c r="H764" s="452" t="s">
        <v>1286</v>
      </c>
      <c r="I764" s="453" t="s">
        <v>844</v>
      </c>
      <c r="J764" s="453">
        <v>55821.19</v>
      </c>
      <c r="K764" s="461">
        <v>20833.36</v>
      </c>
      <c r="L764" s="461">
        <v>19133.419999999998</v>
      </c>
      <c r="M764" s="461">
        <v>15854.41</v>
      </c>
      <c r="N764" s="461">
        <v>0</v>
      </c>
      <c r="O764" s="461">
        <v>0</v>
      </c>
      <c r="P764" s="461">
        <v>0</v>
      </c>
      <c r="Q764" s="461">
        <v>0</v>
      </c>
      <c r="R764" s="461">
        <v>0</v>
      </c>
      <c r="S764" s="461">
        <v>0</v>
      </c>
      <c r="T764" s="461">
        <v>0</v>
      </c>
      <c r="U764" s="461">
        <v>0</v>
      </c>
      <c r="V764" s="461">
        <v>0</v>
      </c>
    </row>
    <row r="765" spans="1:22" s="455" customFormat="1" hidden="1">
      <c r="A765" s="455" t="str">
        <f t="shared" si="22"/>
        <v>11709101401100</v>
      </c>
      <c r="B765" s="455">
        <f>VLOOKUP(LEFT($C$3:$C$2600,3),Table!$D$2:$E$88,2,FALSE)</f>
        <v>0</v>
      </c>
      <c r="C765" s="455" t="str">
        <f t="shared" si="23"/>
        <v>9101401100</v>
      </c>
      <c r="D765" s="455" t="e">
        <f>VLOOKUP(G765,Table!$G$3:$H$21,2,FALSE)</f>
        <v>#N/A</v>
      </c>
      <c r="E765" s="452" t="s">
        <v>902</v>
      </c>
      <c r="F765" s="452" t="s">
        <v>1282</v>
      </c>
      <c r="G765" s="452" t="s">
        <v>1287</v>
      </c>
      <c r="H765" s="452" t="s">
        <v>1288</v>
      </c>
      <c r="I765" s="453" t="s">
        <v>844</v>
      </c>
      <c r="J765" s="453">
        <v>87743.9</v>
      </c>
      <c r="K765" s="461">
        <v>44287</v>
      </c>
      <c r="L765" s="461">
        <v>30915</v>
      </c>
      <c r="M765" s="461">
        <v>25003.1</v>
      </c>
      <c r="N765" s="461">
        <v>0</v>
      </c>
      <c r="O765" s="461">
        <v>0</v>
      </c>
      <c r="P765" s="461">
        <v>0</v>
      </c>
      <c r="Q765" s="461">
        <v>0</v>
      </c>
      <c r="R765" s="461">
        <v>0</v>
      </c>
      <c r="S765" s="461">
        <v>0</v>
      </c>
      <c r="T765" s="461">
        <v>0</v>
      </c>
      <c r="U765" s="461">
        <v>0</v>
      </c>
      <c r="V765" s="461">
        <v>0</v>
      </c>
    </row>
    <row r="766" spans="1:22" s="455" customFormat="1" hidden="1">
      <c r="A766" s="455" t="str">
        <f t="shared" si="22"/>
        <v>11709101401200</v>
      </c>
      <c r="B766" s="455">
        <f>VLOOKUP(LEFT($C$3:$C$2600,3),Table!$D$2:$E$88,2,FALSE)</f>
        <v>0</v>
      </c>
      <c r="C766" s="455" t="str">
        <f t="shared" si="23"/>
        <v>9101401200</v>
      </c>
      <c r="D766" s="455" t="e">
        <f>VLOOKUP(G766,Table!$G$3:$H$21,2,FALSE)</f>
        <v>#N/A</v>
      </c>
      <c r="E766" s="452" t="s">
        <v>902</v>
      </c>
      <c r="F766" s="452" t="s">
        <v>1282</v>
      </c>
      <c r="G766" s="452" t="s">
        <v>1289</v>
      </c>
      <c r="H766" s="452" t="s">
        <v>1290</v>
      </c>
      <c r="I766" s="453" t="s">
        <v>844</v>
      </c>
      <c r="J766" s="453">
        <v>25183</v>
      </c>
      <c r="K766" s="461">
        <v>8863</v>
      </c>
      <c r="L766" s="461">
        <v>7053</v>
      </c>
      <c r="M766" s="461">
        <v>9267</v>
      </c>
      <c r="N766" s="461">
        <v>0</v>
      </c>
      <c r="O766" s="461">
        <v>0</v>
      </c>
      <c r="P766" s="461">
        <v>0</v>
      </c>
      <c r="Q766" s="461">
        <v>0</v>
      </c>
      <c r="R766" s="461">
        <v>0</v>
      </c>
      <c r="S766" s="461">
        <v>0</v>
      </c>
      <c r="T766" s="461">
        <v>0</v>
      </c>
      <c r="U766" s="461">
        <v>0</v>
      </c>
      <c r="V766" s="461">
        <v>0</v>
      </c>
    </row>
    <row r="767" spans="1:22" s="455" customFormat="1" hidden="1">
      <c r="A767" s="455" t="str">
        <f t="shared" si="22"/>
        <v>11709101401300</v>
      </c>
      <c r="B767" s="455">
        <f>VLOOKUP(LEFT($C$3:$C$2600,3),Table!$D$2:$E$88,2,FALSE)</f>
        <v>0</v>
      </c>
      <c r="C767" s="455" t="str">
        <f t="shared" si="23"/>
        <v>9101401300</v>
      </c>
      <c r="D767" s="455" t="e">
        <f>VLOOKUP(G767,Table!$G$3:$H$21,2,FALSE)</f>
        <v>#N/A</v>
      </c>
      <c r="E767" s="452" t="s">
        <v>902</v>
      </c>
      <c r="F767" s="452" t="s">
        <v>1282</v>
      </c>
      <c r="G767" s="452" t="s">
        <v>1291</v>
      </c>
      <c r="H767" s="452" t="s">
        <v>1292</v>
      </c>
      <c r="I767" s="453" t="s">
        <v>844</v>
      </c>
      <c r="J767" s="453">
        <v>6487.2</v>
      </c>
      <c r="K767" s="461">
        <v>3625.2</v>
      </c>
      <c r="L767" s="461">
        <v>2098.8000000000002</v>
      </c>
      <c r="M767" s="461">
        <v>763.2</v>
      </c>
      <c r="N767" s="461">
        <v>0</v>
      </c>
      <c r="O767" s="461">
        <v>0</v>
      </c>
      <c r="P767" s="461">
        <v>0</v>
      </c>
      <c r="Q767" s="461">
        <v>0</v>
      </c>
      <c r="R767" s="461">
        <v>0</v>
      </c>
      <c r="S767" s="461">
        <v>0</v>
      </c>
      <c r="T767" s="461">
        <v>0</v>
      </c>
      <c r="U767" s="461">
        <v>0</v>
      </c>
      <c r="V767" s="461">
        <v>0</v>
      </c>
    </row>
    <row r="768" spans="1:22" s="455" customFormat="1" hidden="1">
      <c r="A768" s="455" t="str">
        <f t="shared" si="22"/>
        <v>11709101401400</v>
      </c>
      <c r="B768" s="455">
        <f>VLOOKUP(LEFT($C$3:$C$2600,3),Table!$D$2:$E$88,2,FALSE)</f>
        <v>0</v>
      </c>
      <c r="C768" s="455" t="str">
        <f t="shared" si="23"/>
        <v>9101401400</v>
      </c>
      <c r="D768" s="455" t="e">
        <f>VLOOKUP(G768,Table!$G$3:$H$21,2,FALSE)</f>
        <v>#N/A</v>
      </c>
      <c r="E768" s="452" t="s">
        <v>902</v>
      </c>
      <c r="F768" s="452" t="s">
        <v>1282</v>
      </c>
      <c r="G768" s="452" t="s">
        <v>1293</v>
      </c>
      <c r="H768" s="452" t="s">
        <v>1294</v>
      </c>
      <c r="I768" s="453" t="s">
        <v>844</v>
      </c>
      <c r="J768" s="453">
        <v>1734</v>
      </c>
      <c r="K768" s="461">
        <v>0</v>
      </c>
      <c r="L768" s="461">
        <v>1734</v>
      </c>
      <c r="M768" s="461">
        <v>0</v>
      </c>
      <c r="N768" s="461">
        <v>0</v>
      </c>
      <c r="O768" s="461">
        <v>0</v>
      </c>
      <c r="P768" s="461">
        <v>0</v>
      </c>
      <c r="Q768" s="461">
        <v>0</v>
      </c>
      <c r="R768" s="461">
        <v>0</v>
      </c>
      <c r="S768" s="461">
        <v>0</v>
      </c>
      <c r="T768" s="461">
        <v>0</v>
      </c>
      <c r="U768" s="461">
        <v>0</v>
      </c>
      <c r="V768" s="461">
        <v>0</v>
      </c>
    </row>
    <row r="769" spans="1:22" s="455" customFormat="1" hidden="1">
      <c r="A769" s="455" t="str">
        <f t="shared" si="22"/>
        <v>11709101401500</v>
      </c>
      <c r="B769" s="455">
        <f>VLOOKUP(LEFT($C$3:$C$2600,3),Table!$D$2:$E$88,2,FALSE)</f>
        <v>0</v>
      </c>
      <c r="C769" s="455" t="str">
        <f t="shared" si="23"/>
        <v>9101401500</v>
      </c>
      <c r="D769" s="455" t="e">
        <f>VLOOKUP(G769,Table!$G$3:$H$21,2,FALSE)</f>
        <v>#N/A</v>
      </c>
      <c r="E769" s="452" t="s">
        <v>902</v>
      </c>
      <c r="F769" s="452" t="s">
        <v>1282</v>
      </c>
      <c r="G769" s="452" t="s">
        <v>1295</v>
      </c>
      <c r="H769" s="452" t="s">
        <v>1296</v>
      </c>
      <c r="I769" s="453" t="s">
        <v>844</v>
      </c>
      <c r="J769" s="453">
        <v>36150.6</v>
      </c>
      <c r="K769" s="461">
        <v>13635.9</v>
      </c>
      <c r="L769" s="461">
        <v>9345</v>
      </c>
      <c r="M769" s="461">
        <v>13169.7</v>
      </c>
      <c r="N769" s="461">
        <v>0</v>
      </c>
      <c r="O769" s="461">
        <v>0</v>
      </c>
      <c r="P769" s="461">
        <v>0</v>
      </c>
      <c r="Q769" s="461">
        <v>0</v>
      </c>
      <c r="R769" s="461">
        <v>0</v>
      </c>
      <c r="S769" s="461">
        <v>0</v>
      </c>
      <c r="T769" s="461">
        <v>0</v>
      </c>
      <c r="U769" s="461">
        <v>0</v>
      </c>
      <c r="V769" s="461">
        <v>0</v>
      </c>
    </row>
    <row r="770" spans="1:22" s="455" customFormat="1" hidden="1">
      <c r="A770" s="455" t="str">
        <f t="shared" si="22"/>
        <v>11709101401600</v>
      </c>
      <c r="B770" s="455">
        <f>VLOOKUP(LEFT($C$3:$C$2600,3),Table!$D$2:$E$88,2,FALSE)</f>
        <v>0</v>
      </c>
      <c r="C770" s="455" t="str">
        <f t="shared" si="23"/>
        <v>9101401600</v>
      </c>
      <c r="D770" s="455" t="e">
        <f>VLOOKUP(G770,Table!$G$3:$H$21,2,FALSE)</f>
        <v>#N/A</v>
      </c>
      <c r="E770" s="452" t="s">
        <v>902</v>
      </c>
      <c r="F770" s="452" t="s">
        <v>1282</v>
      </c>
      <c r="G770" s="452" t="s">
        <v>1297</v>
      </c>
      <c r="H770" s="452" t="s">
        <v>1298</v>
      </c>
      <c r="I770" s="453" t="s">
        <v>844</v>
      </c>
      <c r="J770" s="453">
        <v>341511.1</v>
      </c>
      <c r="K770" s="461">
        <v>69651</v>
      </c>
      <c r="L770" s="461">
        <v>183012</v>
      </c>
      <c r="M770" s="461">
        <v>107170.1</v>
      </c>
      <c r="N770" s="461">
        <v>0</v>
      </c>
      <c r="O770" s="461">
        <v>0</v>
      </c>
      <c r="P770" s="461">
        <v>0</v>
      </c>
      <c r="Q770" s="461">
        <v>0</v>
      </c>
      <c r="R770" s="461">
        <v>0</v>
      </c>
      <c r="S770" s="461">
        <v>0</v>
      </c>
      <c r="T770" s="461">
        <v>0</v>
      </c>
      <c r="U770" s="461">
        <v>0</v>
      </c>
      <c r="V770" s="461">
        <v>0</v>
      </c>
    </row>
    <row r="771" spans="1:22" s="455" customFormat="1" hidden="1">
      <c r="A771" s="455" t="str">
        <f t="shared" si="22"/>
        <v>11709101401700</v>
      </c>
      <c r="B771" s="455">
        <f>VLOOKUP(LEFT($C$3:$C$2600,3),Table!$D$2:$E$88,2,FALSE)</f>
        <v>0</v>
      </c>
      <c r="C771" s="455" t="str">
        <f t="shared" si="23"/>
        <v>9101401700</v>
      </c>
      <c r="D771" s="455" t="e">
        <f>VLOOKUP(G771,Table!$G$3:$H$21,2,FALSE)</f>
        <v>#N/A</v>
      </c>
      <c r="E771" s="452" t="s">
        <v>902</v>
      </c>
      <c r="F771" s="452" t="s">
        <v>1282</v>
      </c>
      <c r="G771" s="452" t="s">
        <v>1299</v>
      </c>
      <c r="H771" s="452" t="s">
        <v>1300</v>
      </c>
      <c r="I771" s="453" t="s">
        <v>844</v>
      </c>
      <c r="J771" s="453">
        <v>3180</v>
      </c>
      <c r="K771" s="461">
        <v>3000</v>
      </c>
      <c r="L771" s="461">
        <v>180</v>
      </c>
      <c r="M771" s="461">
        <v>1140</v>
      </c>
      <c r="N771" s="461">
        <v>0</v>
      </c>
      <c r="O771" s="461">
        <v>0</v>
      </c>
      <c r="P771" s="461">
        <v>0</v>
      </c>
      <c r="Q771" s="461">
        <v>0</v>
      </c>
      <c r="R771" s="461">
        <v>0</v>
      </c>
      <c r="S771" s="461">
        <v>0</v>
      </c>
      <c r="T771" s="461">
        <v>0</v>
      </c>
      <c r="U771" s="461">
        <v>0</v>
      </c>
      <c r="V771" s="461">
        <v>0</v>
      </c>
    </row>
    <row r="772" spans="1:22" s="455" customFormat="1" hidden="1">
      <c r="A772" s="455" t="str">
        <f t="shared" ref="A772:A835" si="24">F772&amp;G772</f>
        <v>11709150801000</v>
      </c>
      <c r="B772" s="455">
        <f>VLOOKUP(LEFT($C$3:$C$2600,3),Table!$D$2:$E$88,2,FALSE)</f>
        <v>0</v>
      </c>
      <c r="C772" s="455" t="str">
        <f t="shared" ref="C772:C835" si="25">IF(ISNA(D772),G772,D772)</f>
        <v>9150801000</v>
      </c>
      <c r="D772" s="455" t="e">
        <f>VLOOKUP(G772,Table!$G$3:$H$21,2,FALSE)</f>
        <v>#N/A</v>
      </c>
      <c r="E772" s="452" t="s">
        <v>902</v>
      </c>
      <c r="F772" s="452" t="s">
        <v>1282</v>
      </c>
      <c r="G772" s="452" t="s">
        <v>993</v>
      </c>
      <c r="H772" s="452" t="s">
        <v>994</v>
      </c>
      <c r="I772" s="453" t="s">
        <v>844</v>
      </c>
      <c r="J772" s="453">
        <v>25740</v>
      </c>
      <c r="K772" s="461">
        <v>8580</v>
      </c>
      <c r="L772" s="461">
        <v>8580</v>
      </c>
      <c r="M772" s="461">
        <v>8580</v>
      </c>
      <c r="N772" s="461">
        <v>0</v>
      </c>
      <c r="O772" s="461">
        <v>0</v>
      </c>
      <c r="P772" s="461">
        <v>0</v>
      </c>
      <c r="Q772" s="461">
        <v>0</v>
      </c>
      <c r="R772" s="461">
        <v>0</v>
      </c>
      <c r="S772" s="461">
        <v>0</v>
      </c>
      <c r="T772" s="461">
        <v>0</v>
      </c>
      <c r="U772" s="461">
        <v>0</v>
      </c>
      <c r="V772" s="461">
        <v>0</v>
      </c>
    </row>
    <row r="773" spans="1:22" s="455" customFormat="1" hidden="1">
      <c r="A773" s="455" t="str">
        <f t="shared" si="24"/>
        <v>11709150801400</v>
      </c>
      <c r="B773" s="455">
        <f>VLOOKUP(LEFT($C$3:$C$2600,3),Table!$D$2:$E$88,2,FALSE)</f>
        <v>0</v>
      </c>
      <c r="C773" s="455" t="str">
        <f t="shared" si="25"/>
        <v>9150801400</v>
      </c>
      <c r="D773" s="455" t="e">
        <f>VLOOKUP(G773,Table!$G$3:$H$21,2,FALSE)</f>
        <v>#N/A</v>
      </c>
      <c r="E773" s="452" t="s">
        <v>902</v>
      </c>
      <c r="F773" s="452" t="s">
        <v>1282</v>
      </c>
      <c r="G773" s="452" t="s">
        <v>997</v>
      </c>
      <c r="H773" s="452" t="s">
        <v>998</v>
      </c>
      <c r="I773" s="453" t="s">
        <v>844</v>
      </c>
      <c r="J773" s="453">
        <v>3863</v>
      </c>
      <c r="K773" s="461">
        <v>1288</v>
      </c>
      <c r="L773" s="461">
        <v>1288</v>
      </c>
      <c r="M773" s="461">
        <v>1287</v>
      </c>
      <c r="N773" s="461">
        <v>0</v>
      </c>
      <c r="O773" s="461">
        <v>0</v>
      </c>
      <c r="P773" s="461">
        <v>0</v>
      </c>
      <c r="Q773" s="461">
        <v>0</v>
      </c>
      <c r="R773" s="461">
        <v>0</v>
      </c>
      <c r="S773" s="461">
        <v>0</v>
      </c>
      <c r="T773" s="461">
        <v>0</v>
      </c>
      <c r="U773" s="461">
        <v>0</v>
      </c>
      <c r="V773" s="461">
        <v>0</v>
      </c>
    </row>
    <row r="774" spans="1:22" s="455" customFormat="1" hidden="1">
      <c r="A774" s="455" t="str">
        <f t="shared" si="24"/>
        <v>11709150801500</v>
      </c>
      <c r="B774" s="455">
        <f>VLOOKUP(LEFT($C$3:$C$2600,3),Table!$D$2:$E$88,2,FALSE)</f>
        <v>0</v>
      </c>
      <c r="C774" s="455" t="str">
        <f t="shared" si="25"/>
        <v>9150801500</v>
      </c>
      <c r="D774" s="455" t="e">
        <f>VLOOKUP(G774,Table!$G$3:$H$21,2,FALSE)</f>
        <v>#N/A</v>
      </c>
      <c r="E774" s="452" t="s">
        <v>902</v>
      </c>
      <c r="F774" s="452" t="s">
        <v>1282</v>
      </c>
      <c r="G774" s="452" t="s">
        <v>999</v>
      </c>
      <c r="H774" s="452" t="s">
        <v>1000</v>
      </c>
      <c r="I774" s="453" t="s">
        <v>844</v>
      </c>
      <c r="J774" s="453">
        <v>309.89999999999998</v>
      </c>
      <c r="K774" s="461">
        <v>103.3</v>
      </c>
      <c r="L774" s="461">
        <v>103.3</v>
      </c>
      <c r="M774" s="461">
        <v>103.3</v>
      </c>
      <c r="N774" s="461">
        <v>0</v>
      </c>
      <c r="O774" s="461">
        <v>0</v>
      </c>
      <c r="P774" s="461">
        <v>0</v>
      </c>
      <c r="Q774" s="461">
        <v>0</v>
      </c>
      <c r="R774" s="461">
        <v>0</v>
      </c>
      <c r="S774" s="461">
        <v>0</v>
      </c>
      <c r="T774" s="461">
        <v>0</v>
      </c>
      <c r="U774" s="461">
        <v>0</v>
      </c>
      <c r="V774" s="461">
        <v>0</v>
      </c>
    </row>
    <row r="775" spans="1:22" s="455" customFormat="1" hidden="1">
      <c r="A775" s="455" t="str">
        <f t="shared" si="24"/>
        <v>11709150801600</v>
      </c>
      <c r="B775" s="455">
        <f>VLOOKUP(LEFT($C$3:$C$2600,3),Table!$D$2:$E$88,2,FALSE)</f>
        <v>0</v>
      </c>
      <c r="C775" s="455" t="str">
        <f t="shared" si="25"/>
        <v>9150801600</v>
      </c>
      <c r="D775" s="455" t="e">
        <f>VLOOKUP(G775,Table!$G$3:$H$21,2,FALSE)</f>
        <v>#N/A</v>
      </c>
      <c r="E775" s="452" t="s">
        <v>902</v>
      </c>
      <c r="F775" s="452" t="s">
        <v>1282</v>
      </c>
      <c r="G775" s="452" t="s">
        <v>1001</v>
      </c>
      <c r="H775" s="452" t="s">
        <v>1002</v>
      </c>
      <c r="I775" s="453" t="s">
        <v>844</v>
      </c>
      <c r="J775" s="453">
        <v>8445</v>
      </c>
      <c r="K775" s="461">
        <v>2815</v>
      </c>
      <c r="L775" s="461">
        <v>2815</v>
      </c>
      <c r="M775" s="461">
        <v>2815</v>
      </c>
      <c r="N775" s="461">
        <v>0</v>
      </c>
      <c r="O775" s="461">
        <v>0</v>
      </c>
      <c r="P775" s="461">
        <v>0</v>
      </c>
      <c r="Q775" s="461">
        <v>0</v>
      </c>
      <c r="R775" s="461">
        <v>0</v>
      </c>
      <c r="S775" s="461">
        <v>0</v>
      </c>
      <c r="T775" s="461">
        <v>0</v>
      </c>
      <c r="U775" s="461">
        <v>0</v>
      </c>
      <c r="V775" s="461">
        <v>0</v>
      </c>
    </row>
    <row r="776" spans="1:22" s="455" customFormat="1" hidden="1">
      <c r="A776" s="455" t="str">
        <f t="shared" si="24"/>
        <v>11709150801800</v>
      </c>
      <c r="B776" s="455">
        <f>VLOOKUP(LEFT($C$3:$C$2600,3),Table!$D$2:$E$88,2,FALSE)</f>
        <v>0</v>
      </c>
      <c r="C776" s="455" t="str">
        <f t="shared" si="25"/>
        <v>9150801800</v>
      </c>
      <c r="D776" s="455" t="e">
        <f>VLOOKUP(G776,Table!$G$3:$H$21,2,FALSE)</f>
        <v>#N/A</v>
      </c>
      <c r="E776" s="452" t="s">
        <v>902</v>
      </c>
      <c r="F776" s="452" t="s">
        <v>1282</v>
      </c>
      <c r="G776" s="452" t="s">
        <v>1004</v>
      </c>
      <c r="H776" s="452" t="s">
        <v>1005</v>
      </c>
      <c r="I776" s="453" t="s">
        <v>844</v>
      </c>
      <c r="J776" s="453">
        <v>880</v>
      </c>
      <c r="K776" s="461">
        <v>360</v>
      </c>
      <c r="L776" s="461">
        <v>385</v>
      </c>
      <c r="M776" s="461">
        <v>135</v>
      </c>
      <c r="N776" s="461">
        <v>0</v>
      </c>
      <c r="O776" s="461">
        <v>0</v>
      </c>
      <c r="P776" s="461">
        <v>0</v>
      </c>
      <c r="Q776" s="461">
        <v>0</v>
      </c>
      <c r="R776" s="461">
        <v>0</v>
      </c>
      <c r="S776" s="461">
        <v>0</v>
      </c>
      <c r="T776" s="461">
        <v>0</v>
      </c>
      <c r="U776" s="461">
        <v>0</v>
      </c>
      <c r="V776" s="461">
        <v>0</v>
      </c>
    </row>
    <row r="777" spans="1:22" s="455" customFormat="1" hidden="1">
      <c r="A777" s="455" t="str">
        <f t="shared" si="24"/>
        <v>11709150801900</v>
      </c>
      <c r="B777" s="455">
        <f>VLOOKUP(LEFT($C$3:$C$2600,3),Table!$D$2:$E$88,2,FALSE)</f>
        <v>0</v>
      </c>
      <c r="C777" s="455" t="str">
        <f t="shared" si="25"/>
        <v>9150801900</v>
      </c>
      <c r="D777" s="455" t="e">
        <f>VLOOKUP(G777,Table!$G$3:$H$21,2,FALSE)</f>
        <v>#N/A</v>
      </c>
      <c r="E777" s="452" t="s">
        <v>902</v>
      </c>
      <c r="F777" s="452" t="s">
        <v>1282</v>
      </c>
      <c r="G777" s="452" t="s">
        <v>1006</v>
      </c>
      <c r="H777" s="452" t="s">
        <v>1007</v>
      </c>
      <c r="I777" s="453" t="s">
        <v>844</v>
      </c>
      <c r="J777" s="453">
        <v>257.39999999999998</v>
      </c>
      <c r="K777" s="461">
        <v>85.8</v>
      </c>
      <c r="L777" s="461">
        <v>85.8</v>
      </c>
      <c r="M777" s="461">
        <v>85.8</v>
      </c>
      <c r="N777" s="461">
        <v>0</v>
      </c>
      <c r="O777" s="461">
        <v>0</v>
      </c>
      <c r="P777" s="461">
        <v>0</v>
      </c>
      <c r="Q777" s="461">
        <v>0</v>
      </c>
      <c r="R777" s="461">
        <v>0</v>
      </c>
      <c r="S777" s="461">
        <v>0</v>
      </c>
      <c r="T777" s="461">
        <v>0</v>
      </c>
      <c r="U777" s="461">
        <v>0</v>
      </c>
      <c r="V777" s="461">
        <v>0</v>
      </c>
    </row>
    <row r="778" spans="1:22" s="455" customFormat="1" hidden="1">
      <c r="A778" s="455" t="str">
        <f t="shared" si="24"/>
        <v>11709151302500</v>
      </c>
      <c r="B778" s="455">
        <f>VLOOKUP(LEFT($C$3:$C$2600,3),Table!$D$2:$E$88,2,FALSE)</f>
        <v>0</v>
      </c>
      <c r="C778" s="455" t="str">
        <f t="shared" si="25"/>
        <v>9151302500</v>
      </c>
      <c r="D778" s="455" t="e">
        <f>VLOOKUP(G778,Table!$G$3:$H$21,2,FALSE)</f>
        <v>#N/A</v>
      </c>
      <c r="E778" s="452" t="s">
        <v>902</v>
      </c>
      <c r="F778" s="452" t="s">
        <v>1282</v>
      </c>
      <c r="G778" s="452" t="s">
        <v>1154</v>
      </c>
      <c r="H778" s="452" t="s">
        <v>1155</v>
      </c>
      <c r="I778" s="453" t="s">
        <v>844</v>
      </c>
      <c r="J778" s="453">
        <v>-375</v>
      </c>
      <c r="K778" s="461">
        <v>-650</v>
      </c>
      <c r="L778" s="461">
        <v>0</v>
      </c>
      <c r="M778" s="461">
        <v>275</v>
      </c>
      <c r="N778" s="461">
        <v>0</v>
      </c>
      <c r="O778" s="461">
        <v>0</v>
      </c>
      <c r="P778" s="461">
        <v>0</v>
      </c>
      <c r="Q778" s="461">
        <v>0</v>
      </c>
      <c r="R778" s="461">
        <v>0</v>
      </c>
      <c r="S778" s="461">
        <v>0</v>
      </c>
      <c r="T778" s="461">
        <v>0</v>
      </c>
      <c r="U778" s="461">
        <v>0</v>
      </c>
      <c r="V778" s="461">
        <v>0</v>
      </c>
    </row>
    <row r="779" spans="1:22" s="455" customFormat="1" hidden="1">
      <c r="A779" s="455" t="str">
        <f t="shared" si="24"/>
        <v>11709151501100</v>
      </c>
      <c r="B779" s="455">
        <f>VLOOKUP(LEFT($C$3:$C$2600,3),Table!$D$2:$E$88,2,FALSE)</f>
        <v>0</v>
      </c>
      <c r="C779" s="455" t="str">
        <f t="shared" si="25"/>
        <v>9151501100</v>
      </c>
      <c r="D779" s="455" t="e">
        <f>VLOOKUP(G779,Table!$G$3:$H$21,2,FALSE)</f>
        <v>#N/A</v>
      </c>
      <c r="E779" s="452" t="s">
        <v>902</v>
      </c>
      <c r="F779" s="452" t="s">
        <v>1282</v>
      </c>
      <c r="G779" s="452" t="s">
        <v>1009</v>
      </c>
      <c r="H779" s="452" t="s">
        <v>1010</v>
      </c>
      <c r="I779" s="453" t="s">
        <v>844</v>
      </c>
      <c r="J779" s="453">
        <v>288</v>
      </c>
      <c r="K779" s="461">
        <v>0</v>
      </c>
      <c r="L779" s="461">
        <v>288</v>
      </c>
      <c r="M779" s="461">
        <v>0</v>
      </c>
      <c r="N779" s="461">
        <v>0</v>
      </c>
      <c r="O779" s="461">
        <v>0</v>
      </c>
      <c r="P779" s="461">
        <v>0</v>
      </c>
      <c r="Q779" s="461">
        <v>0</v>
      </c>
      <c r="R779" s="461">
        <v>0</v>
      </c>
      <c r="S779" s="461">
        <v>0</v>
      </c>
      <c r="T779" s="461">
        <v>0</v>
      </c>
      <c r="U779" s="461">
        <v>0</v>
      </c>
      <c r="V779" s="461">
        <v>0</v>
      </c>
    </row>
    <row r="780" spans="1:22" s="455" customFormat="1" hidden="1">
      <c r="A780" s="455" t="str">
        <f t="shared" si="24"/>
        <v>11709151502000</v>
      </c>
      <c r="B780" s="455">
        <f>VLOOKUP(LEFT($C$3:$C$2600,3),Table!$D$2:$E$88,2,FALSE)</f>
        <v>0</v>
      </c>
      <c r="C780" s="455" t="str">
        <f t="shared" si="25"/>
        <v>9151502000</v>
      </c>
      <c r="D780" s="455" t="e">
        <f>VLOOKUP(G780,Table!$G$3:$H$21,2,FALSE)</f>
        <v>#N/A</v>
      </c>
      <c r="E780" s="452" t="s">
        <v>902</v>
      </c>
      <c r="F780" s="452" t="s">
        <v>1282</v>
      </c>
      <c r="G780" s="452" t="s">
        <v>1206</v>
      </c>
      <c r="H780" s="452" t="s">
        <v>1207</v>
      </c>
      <c r="I780" s="453" t="s">
        <v>844</v>
      </c>
      <c r="J780" s="453">
        <v>0</v>
      </c>
      <c r="K780" s="461">
        <v>0</v>
      </c>
      <c r="L780" s="461">
        <v>0</v>
      </c>
      <c r="M780" s="461">
        <v>3505</v>
      </c>
      <c r="N780" s="461">
        <v>0</v>
      </c>
      <c r="O780" s="461">
        <v>0</v>
      </c>
      <c r="P780" s="461">
        <v>0</v>
      </c>
      <c r="Q780" s="461">
        <v>0</v>
      </c>
      <c r="R780" s="461">
        <v>0</v>
      </c>
      <c r="S780" s="461">
        <v>0</v>
      </c>
      <c r="T780" s="461">
        <v>0</v>
      </c>
      <c r="U780" s="461">
        <v>0</v>
      </c>
      <c r="V780" s="461">
        <v>0</v>
      </c>
    </row>
    <row r="781" spans="1:22" s="455" customFormat="1" hidden="1">
      <c r="A781" s="455" t="str">
        <f t="shared" si="24"/>
        <v>11709151601001</v>
      </c>
      <c r="B781" s="455">
        <f>VLOOKUP(LEFT($C$3:$C$2600,3),Table!$D$2:$E$88,2,FALSE)</f>
        <v>0</v>
      </c>
      <c r="C781" s="455" t="str">
        <f t="shared" si="25"/>
        <v>9151601001</v>
      </c>
      <c r="D781" s="455" t="e">
        <f>VLOOKUP(G781,Table!$G$3:$H$21,2,FALSE)</f>
        <v>#N/A</v>
      </c>
      <c r="E781" s="452" t="s">
        <v>902</v>
      </c>
      <c r="F781" s="452" t="s">
        <v>1282</v>
      </c>
      <c r="G781" s="452" t="s">
        <v>1015</v>
      </c>
      <c r="H781" s="452" t="s">
        <v>1016</v>
      </c>
      <c r="I781" s="453" t="s">
        <v>844</v>
      </c>
      <c r="J781" s="453">
        <v>2609.6999999999998</v>
      </c>
      <c r="K781" s="461">
        <v>858.5</v>
      </c>
      <c r="L781" s="461">
        <v>841.7</v>
      </c>
      <c r="M781" s="461">
        <v>909.5</v>
      </c>
      <c r="N781" s="461">
        <v>0</v>
      </c>
      <c r="O781" s="461">
        <v>0</v>
      </c>
      <c r="P781" s="461">
        <v>0</v>
      </c>
      <c r="Q781" s="461">
        <v>0</v>
      </c>
      <c r="R781" s="461">
        <v>0</v>
      </c>
      <c r="S781" s="461">
        <v>0</v>
      </c>
      <c r="T781" s="461">
        <v>0</v>
      </c>
      <c r="U781" s="461">
        <v>0</v>
      </c>
      <c r="V781" s="461">
        <v>0</v>
      </c>
    </row>
    <row r="782" spans="1:22" s="455" customFormat="1" hidden="1">
      <c r="A782" s="455" t="str">
        <f t="shared" si="24"/>
        <v>11709151801100</v>
      </c>
      <c r="B782" s="455">
        <f>VLOOKUP(LEFT($C$3:$C$2600,3),Table!$D$2:$E$88,2,FALSE)</f>
        <v>0</v>
      </c>
      <c r="C782" s="455" t="str">
        <f t="shared" si="25"/>
        <v>9151801100</v>
      </c>
      <c r="D782" s="455" t="e">
        <f>VLOOKUP(G782,Table!$G$3:$H$21,2,FALSE)</f>
        <v>#N/A</v>
      </c>
      <c r="E782" s="452" t="s">
        <v>902</v>
      </c>
      <c r="F782" s="452" t="s">
        <v>1282</v>
      </c>
      <c r="G782" s="452" t="s">
        <v>1017</v>
      </c>
      <c r="H782" s="452" t="s">
        <v>1018</v>
      </c>
      <c r="I782" s="453" t="s">
        <v>844</v>
      </c>
      <c r="J782" s="453">
        <v>3678.99</v>
      </c>
      <c r="K782" s="461">
        <v>443.19</v>
      </c>
      <c r="L782" s="461">
        <v>2354.6</v>
      </c>
      <c r="M782" s="461">
        <v>881.2</v>
      </c>
      <c r="N782" s="461">
        <v>0</v>
      </c>
      <c r="O782" s="461">
        <v>0</v>
      </c>
      <c r="P782" s="461">
        <v>0</v>
      </c>
      <c r="Q782" s="461">
        <v>0</v>
      </c>
      <c r="R782" s="461">
        <v>0</v>
      </c>
      <c r="S782" s="461">
        <v>0</v>
      </c>
      <c r="T782" s="461">
        <v>0</v>
      </c>
      <c r="U782" s="461">
        <v>0</v>
      </c>
      <c r="V782" s="461">
        <v>0</v>
      </c>
    </row>
    <row r="783" spans="1:22" s="455" customFormat="1" hidden="1">
      <c r="A783" s="455" t="str">
        <f t="shared" si="24"/>
        <v>11709152020212</v>
      </c>
      <c r="B783" s="455">
        <f>VLOOKUP(LEFT($C$3:$C$2600,3),Table!$D$2:$E$88,2,FALSE)</f>
        <v>0</v>
      </c>
      <c r="C783" s="455" t="str">
        <f t="shared" si="25"/>
        <v>9152020212</v>
      </c>
      <c r="D783" s="455" t="e">
        <f>VLOOKUP(G783,Table!$G$3:$H$21,2,FALSE)</f>
        <v>#N/A</v>
      </c>
      <c r="E783" s="452" t="s">
        <v>902</v>
      </c>
      <c r="F783" s="452" t="s">
        <v>1282</v>
      </c>
      <c r="G783" s="452" t="s">
        <v>1023</v>
      </c>
      <c r="H783" s="452" t="s">
        <v>1024</v>
      </c>
      <c r="I783" s="453" t="s">
        <v>844</v>
      </c>
      <c r="J783" s="453">
        <v>330</v>
      </c>
      <c r="K783" s="461">
        <v>110</v>
      </c>
      <c r="L783" s="461">
        <v>110</v>
      </c>
      <c r="M783" s="461">
        <v>110</v>
      </c>
      <c r="N783" s="461">
        <v>0</v>
      </c>
      <c r="O783" s="461">
        <v>0</v>
      </c>
      <c r="P783" s="461">
        <v>0</v>
      </c>
      <c r="Q783" s="461">
        <v>0</v>
      </c>
      <c r="R783" s="461">
        <v>0</v>
      </c>
      <c r="S783" s="461">
        <v>0</v>
      </c>
      <c r="T783" s="461">
        <v>0</v>
      </c>
      <c r="U783" s="461">
        <v>0</v>
      </c>
      <c r="V783" s="461">
        <v>0</v>
      </c>
    </row>
    <row r="784" spans="1:22" s="455" customFormat="1" hidden="1">
      <c r="A784" s="455" t="str">
        <f t="shared" si="24"/>
        <v>11709152020813</v>
      </c>
      <c r="B784" s="455">
        <f>VLOOKUP(LEFT($C$3:$C$2600,3),Table!$D$2:$E$88,2,FALSE)</f>
        <v>0</v>
      </c>
      <c r="C784" s="455" t="str">
        <f t="shared" si="25"/>
        <v>9152020813</v>
      </c>
      <c r="D784" s="455" t="e">
        <f>VLOOKUP(G784,Table!$G$3:$H$21,2,FALSE)</f>
        <v>#N/A</v>
      </c>
      <c r="E784" s="452" t="s">
        <v>902</v>
      </c>
      <c r="F784" s="452" t="s">
        <v>1282</v>
      </c>
      <c r="G784" s="452" t="s">
        <v>1303</v>
      </c>
      <c r="H784" s="452" t="s">
        <v>1304</v>
      </c>
      <c r="I784" s="453" t="s">
        <v>844</v>
      </c>
      <c r="J784" s="453">
        <v>2657</v>
      </c>
      <c r="K784" s="461">
        <v>600</v>
      </c>
      <c r="L784" s="461">
        <v>2057</v>
      </c>
      <c r="M784" s="461">
        <v>0</v>
      </c>
      <c r="N784" s="461">
        <v>0</v>
      </c>
      <c r="O784" s="461">
        <v>0</v>
      </c>
      <c r="P784" s="461">
        <v>0</v>
      </c>
      <c r="Q784" s="461">
        <v>0</v>
      </c>
      <c r="R784" s="461">
        <v>0</v>
      </c>
      <c r="S784" s="461">
        <v>0</v>
      </c>
      <c r="T784" s="461">
        <v>0</v>
      </c>
      <c r="U784" s="461">
        <v>0</v>
      </c>
      <c r="V784" s="461">
        <v>0</v>
      </c>
    </row>
    <row r="785" spans="1:22" s="455" customFormat="1" hidden="1">
      <c r="A785" s="455" t="str">
        <f t="shared" si="24"/>
        <v>11709152023271</v>
      </c>
      <c r="B785" s="455">
        <f>VLOOKUP(LEFT($C$3:$C$2600,3),Table!$D$2:$E$88,2,FALSE)</f>
        <v>0</v>
      </c>
      <c r="C785" s="455" t="str">
        <f t="shared" si="25"/>
        <v>9152023271</v>
      </c>
      <c r="D785" s="455" t="e">
        <f>VLOOKUP(G785,Table!$G$3:$H$21,2,FALSE)</f>
        <v>#N/A</v>
      </c>
      <c r="E785" s="452" t="s">
        <v>902</v>
      </c>
      <c r="F785" s="452" t="s">
        <v>1282</v>
      </c>
      <c r="G785" s="452" t="s">
        <v>1305</v>
      </c>
      <c r="H785" s="452" t="s">
        <v>1306</v>
      </c>
      <c r="I785" s="453" t="s">
        <v>844</v>
      </c>
      <c r="J785" s="453">
        <v>0</v>
      </c>
      <c r="K785" s="461">
        <v>0</v>
      </c>
      <c r="L785" s="461">
        <v>450</v>
      </c>
      <c r="M785" s="461">
        <v>0</v>
      </c>
      <c r="N785" s="461">
        <v>0</v>
      </c>
      <c r="O785" s="461">
        <v>0</v>
      </c>
      <c r="P785" s="461">
        <v>0</v>
      </c>
      <c r="Q785" s="461">
        <v>0</v>
      </c>
      <c r="R785" s="461">
        <v>0</v>
      </c>
      <c r="S785" s="461">
        <v>0</v>
      </c>
      <c r="T785" s="461">
        <v>0</v>
      </c>
      <c r="U785" s="461">
        <v>0</v>
      </c>
      <c r="V785" s="461">
        <v>0</v>
      </c>
    </row>
    <row r="786" spans="1:22" s="455" customFormat="1" hidden="1">
      <c r="A786" s="455" t="str">
        <f t="shared" si="24"/>
        <v>11709152028011</v>
      </c>
      <c r="B786" s="455">
        <f>VLOOKUP(LEFT($C$3:$C$2600,3),Table!$D$2:$E$88,2,FALSE)</f>
        <v>0</v>
      </c>
      <c r="C786" s="455" t="str">
        <f t="shared" si="25"/>
        <v>9152028011</v>
      </c>
      <c r="D786" s="455" t="e">
        <f>VLOOKUP(G786,Table!$G$3:$H$21,2,FALSE)</f>
        <v>#N/A</v>
      </c>
      <c r="E786" s="452" t="s">
        <v>902</v>
      </c>
      <c r="F786" s="452" t="s">
        <v>1282</v>
      </c>
      <c r="G786" s="452" t="s">
        <v>1307</v>
      </c>
      <c r="H786" s="452" t="s">
        <v>1308</v>
      </c>
      <c r="I786" s="453" t="s">
        <v>844</v>
      </c>
      <c r="J786" s="453">
        <v>1200</v>
      </c>
      <c r="K786" s="461">
        <v>1200</v>
      </c>
      <c r="L786" s="461">
        <v>0</v>
      </c>
      <c r="M786" s="461">
        <v>0</v>
      </c>
      <c r="N786" s="461">
        <v>0</v>
      </c>
      <c r="O786" s="461">
        <v>0</v>
      </c>
      <c r="P786" s="461">
        <v>0</v>
      </c>
      <c r="Q786" s="461">
        <v>0</v>
      </c>
      <c r="R786" s="461">
        <v>0</v>
      </c>
      <c r="S786" s="461">
        <v>0</v>
      </c>
      <c r="T786" s="461">
        <v>0</v>
      </c>
      <c r="U786" s="461">
        <v>0</v>
      </c>
      <c r="V786" s="461">
        <v>0</v>
      </c>
    </row>
    <row r="787" spans="1:22" s="455" customFormat="1" hidden="1">
      <c r="A787" s="455" t="str">
        <f t="shared" si="24"/>
        <v>11709152050011</v>
      </c>
      <c r="B787" s="455">
        <f>VLOOKUP(LEFT($C$3:$C$2600,3),Table!$D$2:$E$88,2,FALSE)</f>
        <v>0</v>
      </c>
      <c r="C787" s="455" t="str">
        <f t="shared" si="25"/>
        <v>9152050011</v>
      </c>
      <c r="D787" s="455" t="e">
        <f>VLOOKUP(G787,Table!$G$3:$H$21,2,FALSE)</f>
        <v>#N/A</v>
      </c>
      <c r="E787" s="452" t="s">
        <v>902</v>
      </c>
      <c r="F787" s="452" t="s">
        <v>1282</v>
      </c>
      <c r="G787" s="452" t="s">
        <v>1031</v>
      </c>
      <c r="H787" s="452" t="s">
        <v>1032</v>
      </c>
      <c r="I787" s="453" t="s">
        <v>844</v>
      </c>
      <c r="J787" s="453">
        <v>1405</v>
      </c>
      <c r="K787" s="461">
        <v>0</v>
      </c>
      <c r="L787" s="461">
        <v>0</v>
      </c>
      <c r="M787" s="461">
        <v>1405</v>
      </c>
      <c r="N787" s="461">
        <v>0</v>
      </c>
      <c r="O787" s="461">
        <v>0</v>
      </c>
      <c r="P787" s="461">
        <v>0</v>
      </c>
      <c r="Q787" s="461">
        <v>0</v>
      </c>
      <c r="R787" s="461">
        <v>0</v>
      </c>
      <c r="S787" s="461">
        <v>0</v>
      </c>
      <c r="T787" s="461">
        <v>0</v>
      </c>
      <c r="U787" s="461">
        <v>0</v>
      </c>
      <c r="V787" s="461">
        <v>0</v>
      </c>
    </row>
    <row r="788" spans="1:22" s="455" customFormat="1" hidden="1">
      <c r="A788" s="455" t="str">
        <f t="shared" si="24"/>
        <v>11709152050021</v>
      </c>
      <c r="B788" s="455">
        <f>VLOOKUP(LEFT($C$3:$C$2600,3),Table!$D$2:$E$88,2,FALSE)</f>
        <v>0</v>
      </c>
      <c r="C788" s="455" t="str">
        <f t="shared" si="25"/>
        <v>9152050021</v>
      </c>
      <c r="D788" s="455" t="e">
        <f>VLOOKUP(G788,Table!$G$3:$H$21,2,FALSE)</f>
        <v>#N/A</v>
      </c>
      <c r="E788" s="452" t="s">
        <v>902</v>
      </c>
      <c r="F788" s="452" t="s">
        <v>1282</v>
      </c>
      <c r="G788" s="452" t="s">
        <v>1158</v>
      </c>
      <c r="H788" s="452" t="s">
        <v>1159</v>
      </c>
      <c r="I788" s="453" t="s">
        <v>844</v>
      </c>
      <c r="J788" s="453">
        <v>1180</v>
      </c>
      <c r="K788" s="461">
        <v>1180</v>
      </c>
      <c r="L788" s="461">
        <v>0</v>
      </c>
      <c r="M788" s="461">
        <v>0</v>
      </c>
      <c r="N788" s="461">
        <v>0</v>
      </c>
      <c r="O788" s="461">
        <v>0</v>
      </c>
      <c r="P788" s="461">
        <v>0</v>
      </c>
      <c r="Q788" s="461">
        <v>0</v>
      </c>
      <c r="R788" s="461">
        <v>0</v>
      </c>
      <c r="S788" s="461">
        <v>0</v>
      </c>
      <c r="T788" s="461">
        <v>0</v>
      </c>
      <c r="U788" s="461">
        <v>0</v>
      </c>
      <c r="V788" s="461">
        <v>0</v>
      </c>
    </row>
    <row r="789" spans="1:22" s="455" customFormat="1" hidden="1">
      <c r="A789" s="455" t="str">
        <f t="shared" si="24"/>
        <v>11709152402513</v>
      </c>
      <c r="B789" s="455">
        <f>VLOOKUP(LEFT($C$3:$C$2600,3),Table!$D$2:$E$88,2,FALSE)</f>
        <v>0</v>
      </c>
      <c r="C789" s="455" t="str">
        <f t="shared" si="25"/>
        <v>9152402513</v>
      </c>
      <c r="D789" s="455" t="e">
        <f>VLOOKUP(G789,Table!$G$3:$H$21,2,FALSE)</f>
        <v>#N/A</v>
      </c>
      <c r="E789" s="452" t="s">
        <v>902</v>
      </c>
      <c r="F789" s="452" t="s">
        <v>1282</v>
      </c>
      <c r="G789" s="452" t="s">
        <v>1309</v>
      </c>
      <c r="H789" s="452" t="s">
        <v>1310</v>
      </c>
      <c r="I789" s="453" t="s">
        <v>844</v>
      </c>
      <c r="J789" s="453">
        <v>9400</v>
      </c>
      <c r="K789" s="461">
        <v>2300</v>
      </c>
      <c r="L789" s="461">
        <v>2300</v>
      </c>
      <c r="M789" s="461">
        <v>2400</v>
      </c>
      <c r="N789" s="461">
        <v>0</v>
      </c>
      <c r="O789" s="461">
        <v>0</v>
      </c>
      <c r="P789" s="461">
        <v>0</v>
      </c>
      <c r="Q789" s="461">
        <v>0</v>
      </c>
      <c r="R789" s="461">
        <v>0</v>
      </c>
      <c r="S789" s="461">
        <v>0</v>
      </c>
      <c r="T789" s="461">
        <v>0</v>
      </c>
      <c r="U789" s="461">
        <v>0</v>
      </c>
      <c r="V789" s="461">
        <v>0</v>
      </c>
    </row>
    <row r="790" spans="1:22" s="455" customFormat="1" hidden="1">
      <c r="A790" s="455" t="str">
        <f t="shared" si="24"/>
        <v>11709153001000</v>
      </c>
      <c r="B790" s="455">
        <f>VLOOKUP(LEFT($C$3:$C$2600,3),Table!$D$2:$E$88,2,FALSE)</f>
        <v>0</v>
      </c>
      <c r="C790" s="455" t="str">
        <f t="shared" si="25"/>
        <v>9153001000</v>
      </c>
      <c r="D790" s="455" t="e">
        <f>VLOOKUP(G790,Table!$G$3:$H$21,2,FALSE)</f>
        <v>#N/A</v>
      </c>
      <c r="E790" s="452" t="s">
        <v>902</v>
      </c>
      <c r="F790" s="452" t="s">
        <v>1282</v>
      </c>
      <c r="G790" s="452" t="s">
        <v>1043</v>
      </c>
      <c r="H790" s="452" t="s">
        <v>1044</v>
      </c>
      <c r="I790" s="453" t="s">
        <v>844</v>
      </c>
      <c r="J790" s="453">
        <v>22812</v>
      </c>
      <c r="K790" s="461">
        <v>7530</v>
      </c>
      <c r="L790" s="461">
        <v>7641</v>
      </c>
      <c r="M790" s="461">
        <v>7641</v>
      </c>
      <c r="N790" s="461">
        <v>0</v>
      </c>
      <c r="O790" s="461">
        <v>0</v>
      </c>
      <c r="P790" s="461">
        <v>0</v>
      </c>
      <c r="Q790" s="461">
        <v>0</v>
      </c>
      <c r="R790" s="461">
        <v>0</v>
      </c>
      <c r="S790" s="461">
        <v>0</v>
      </c>
      <c r="T790" s="461">
        <v>0</v>
      </c>
      <c r="U790" s="461">
        <v>0</v>
      </c>
      <c r="V790" s="461">
        <v>0</v>
      </c>
    </row>
    <row r="791" spans="1:22" s="455" customFormat="1" hidden="1">
      <c r="A791" s="455" t="str">
        <f t="shared" si="24"/>
        <v>11719101101000</v>
      </c>
      <c r="B791" s="455">
        <f>VLOOKUP(LEFT($C$3:$C$2600,3),Table!$D$2:$E$88,2,FALSE)</f>
        <v>0</v>
      </c>
      <c r="C791" s="455" t="str">
        <f t="shared" si="25"/>
        <v>9101101000</v>
      </c>
      <c r="D791" s="455" t="e">
        <f>VLOOKUP(G791,Table!$G$3:$H$21,2,FALSE)</f>
        <v>#N/A</v>
      </c>
      <c r="E791" s="452" t="s">
        <v>902</v>
      </c>
      <c r="F791" s="452" t="s">
        <v>1311</v>
      </c>
      <c r="G791" s="452" t="s">
        <v>1067</v>
      </c>
      <c r="H791" s="452" t="s">
        <v>1068</v>
      </c>
      <c r="I791" s="453" t="s">
        <v>844</v>
      </c>
      <c r="J791" s="453">
        <v>6593.03</v>
      </c>
      <c r="K791" s="461">
        <v>2393.11</v>
      </c>
      <c r="L791" s="461">
        <v>2273.5500000000002</v>
      </c>
      <c r="M791" s="461">
        <v>2270.02</v>
      </c>
      <c r="N791" s="461">
        <v>0</v>
      </c>
      <c r="O791" s="461">
        <v>0</v>
      </c>
      <c r="P791" s="461">
        <v>0</v>
      </c>
      <c r="Q791" s="461">
        <v>0</v>
      </c>
      <c r="R791" s="461">
        <v>0</v>
      </c>
      <c r="S791" s="461">
        <v>0</v>
      </c>
      <c r="T791" s="461">
        <v>0</v>
      </c>
      <c r="U791" s="461">
        <v>0</v>
      </c>
      <c r="V791" s="461">
        <v>0</v>
      </c>
    </row>
    <row r="792" spans="1:22" s="455" customFormat="1" hidden="1">
      <c r="A792" s="455" t="str">
        <f t="shared" si="24"/>
        <v>11719101101100</v>
      </c>
      <c r="B792" s="455">
        <f>VLOOKUP(LEFT($C$3:$C$2600,3),Table!$D$2:$E$88,2,FALSE)</f>
        <v>0</v>
      </c>
      <c r="C792" s="455" t="str">
        <f t="shared" si="25"/>
        <v>9101101100</v>
      </c>
      <c r="D792" s="455" t="e">
        <f>VLOOKUP(G792,Table!$G$3:$H$21,2,FALSE)</f>
        <v>#N/A</v>
      </c>
      <c r="E792" s="452" t="s">
        <v>902</v>
      </c>
      <c r="F792" s="452" t="s">
        <v>1311</v>
      </c>
      <c r="G792" s="452" t="s">
        <v>1069</v>
      </c>
      <c r="H792" s="452" t="s">
        <v>1070</v>
      </c>
      <c r="I792" s="453" t="s">
        <v>844</v>
      </c>
      <c r="J792" s="453">
        <v>3686</v>
      </c>
      <c r="K792" s="461">
        <v>1851.64</v>
      </c>
      <c r="L792" s="461">
        <v>791.87</v>
      </c>
      <c r="M792" s="461">
        <v>1241.46</v>
      </c>
      <c r="N792" s="461">
        <v>0</v>
      </c>
      <c r="O792" s="461">
        <v>0</v>
      </c>
      <c r="P792" s="461">
        <v>0</v>
      </c>
      <c r="Q792" s="461">
        <v>0</v>
      </c>
      <c r="R792" s="461">
        <v>0</v>
      </c>
      <c r="S792" s="461">
        <v>0</v>
      </c>
      <c r="T792" s="461">
        <v>0</v>
      </c>
      <c r="U792" s="461">
        <v>0</v>
      </c>
      <c r="V792" s="461">
        <v>0</v>
      </c>
    </row>
    <row r="793" spans="1:22" s="455" customFormat="1" hidden="1">
      <c r="A793" s="455" t="str">
        <f t="shared" si="24"/>
        <v>11719101101200</v>
      </c>
      <c r="B793" s="455">
        <f>VLOOKUP(LEFT($C$3:$C$2600,3),Table!$D$2:$E$88,2,FALSE)</f>
        <v>0</v>
      </c>
      <c r="C793" s="455" t="str">
        <f t="shared" si="25"/>
        <v>9101101200</v>
      </c>
      <c r="D793" s="455" t="e">
        <f>VLOOKUP(G793,Table!$G$3:$H$21,2,FALSE)</f>
        <v>#N/A</v>
      </c>
      <c r="E793" s="452" t="s">
        <v>902</v>
      </c>
      <c r="F793" s="452" t="s">
        <v>1311</v>
      </c>
      <c r="G793" s="452" t="s">
        <v>1071</v>
      </c>
      <c r="H793" s="452" t="s">
        <v>1072</v>
      </c>
      <c r="I793" s="453" t="s">
        <v>844</v>
      </c>
      <c r="J793" s="453">
        <v>915.6</v>
      </c>
      <c r="K793" s="461">
        <v>291.2</v>
      </c>
      <c r="L793" s="461">
        <v>309.2</v>
      </c>
      <c r="M793" s="461">
        <v>315.2</v>
      </c>
      <c r="N793" s="461">
        <v>0</v>
      </c>
      <c r="O793" s="461">
        <v>0</v>
      </c>
      <c r="P793" s="461">
        <v>0</v>
      </c>
      <c r="Q793" s="461">
        <v>0</v>
      </c>
      <c r="R793" s="461">
        <v>0</v>
      </c>
      <c r="S793" s="461">
        <v>0</v>
      </c>
      <c r="T793" s="461">
        <v>0</v>
      </c>
      <c r="U793" s="461">
        <v>0</v>
      </c>
      <c r="V793" s="461">
        <v>0</v>
      </c>
    </row>
    <row r="794" spans="1:22" s="455" customFormat="1" hidden="1">
      <c r="A794" s="455" t="str">
        <f t="shared" si="24"/>
        <v>11719101101400</v>
      </c>
      <c r="B794" s="455">
        <f>VLOOKUP(LEFT($C$3:$C$2600,3),Table!$D$2:$E$88,2,FALSE)</f>
        <v>0</v>
      </c>
      <c r="C794" s="455" t="str">
        <f t="shared" si="25"/>
        <v>9101101400</v>
      </c>
      <c r="D794" s="455" t="e">
        <f>VLOOKUP(G794,Table!$G$3:$H$21,2,FALSE)</f>
        <v>#N/A</v>
      </c>
      <c r="E794" s="452" t="s">
        <v>902</v>
      </c>
      <c r="F794" s="452" t="s">
        <v>1311</v>
      </c>
      <c r="G794" s="452" t="s">
        <v>1075</v>
      </c>
      <c r="H794" s="452" t="s">
        <v>1076</v>
      </c>
      <c r="I794" s="453" t="s">
        <v>844</v>
      </c>
      <c r="J794" s="453">
        <v>846</v>
      </c>
      <c r="K794" s="461">
        <v>279</v>
      </c>
      <c r="L794" s="461">
        <v>279</v>
      </c>
      <c r="M794" s="461">
        <v>288</v>
      </c>
      <c r="N794" s="461">
        <v>0</v>
      </c>
      <c r="O794" s="461">
        <v>0</v>
      </c>
      <c r="P794" s="461">
        <v>0</v>
      </c>
      <c r="Q794" s="461">
        <v>0</v>
      </c>
      <c r="R794" s="461">
        <v>0</v>
      </c>
      <c r="S794" s="461">
        <v>0</v>
      </c>
      <c r="T794" s="461">
        <v>0</v>
      </c>
      <c r="U794" s="461">
        <v>0</v>
      </c>
      <c r="V794" s="461">
        <v>0</v>
      </c>
    </row>
    <row r="795" spans="1:22" s="455" customFormat="1" hidden="1">
      <c r="A795" s="455" t="str">
        <f t="shared" si="24"/>
        <v>11719101101410</v>
      </c>
      <c r="B795" s="455">
        <f>VLOOKUP(LEFT($C$3:$C$2600,3),Table!$D$2:$E$88,2,FALSE)</f>
        <v>0</v>
      </c>
      <c r="C795" s="455" t="str">
        <f t="shared" si="25"/>
        <v>9101101410</v>
      </c>
      <c r="D795" s="455" t="e">
        <f>VLOOKUP(G795,Table!$G$3:$H$21,2,FALSE)</f>
        <v>#N/A</v>
      </c>
      <c r="E795" s="452" t="s">
        <v>902</v>
      </c>
      <c r="F795" s="452" t="s">
        <v>1311</v>
      </c>
      <c r="G795" s="452" t="s">
        <v>1077</v>
      </c>
      <c r="H795" s="452" t="s">
        <v>1078</v>
      </c>
      <c r="I795" s="453" t="s">
        <v>844</v>
      </c>
      <c r="J795" s="453">
        <v>30</v>
      </c>
      <c r="K795" s="461">
        <v>15</v>
      </c>
      <c r="L795" s="461">
        <v>15</v>
      </c>
      <c r="M795" s="461">
        <v>0</v>
      </c>
      <c r="N795" s="461">
        <v>0</v>
      </c>
      <c r="O795" s="461">
        <v>0</v>
      </c>
      <c r="P795" s="461">
        <v>0</v>
      </c>
      <c r="Q795" s="461">
        <v>0</v>
      </c>
      <c r="R795" s="461">
        <v>0</v>
      </c>
      <c r="S795" s="461">
        <v>0</v>
      </c>
      <c r="T795" s="461">
        <v>0</v>
      </c>
      <c r="U795" s="461">
        <v>0</v>
      </c>
      <c r="V795" s="461">
        <v>0</v>
      </c>
    </row>
    <row r="796" spans="1:22" s="455" customFormat="1" hidden="1">
      <c r="A796" s="455" t="str">
        <f t="shared" si="24"/>
        <v>11719101101500</v>
      </c>
      <c r="B796" s="455">
        <f>VLOOKUP(LEFT($C$3:$C$2600,3),Table!$D$2:$E$88,2,FALSE)</f>
        <v>0</v>
      </c>
      <c r="C796" s="455" t="str">
        <f t="shared" si="25"/>
        <v>9101101500</v>
      </c>
      <c r="D796" s="455" t="e">
        <f>VLOOKUP(G796,Table!$G$3:$H$21,2,FALSE)</f>
        <v>#N/A</v>
      </c>
      <c r="E796" s="452" t="s">
        <v>902</v>
      </c>
      <c r="F796" s="452" t="s">
        <v>1311</v>
      </c>
      <c r="G796" s="452" t="s">
        <v>1079</v>
      </c>
      <c r="H796" s="452" t="s">
        <v>1080</v>
      </c>
      <c r="I796" s="453" t="s">
        <v>844</v>
      </c>
      <c r="J796" s="453">
        <v>135.65</v>
      </c>
      <c r="K796" s="461">
        <v>51.65</v>
      </c>
      <c r="L796" s="461">
        <v>39.35</v>
      </c>
      <c r="M796" s="461">
        <v>44.65</v>
      </c>
      <c r="N796" s="461">
        <v>0</v>
      </c>
      <c r="O796" s="461">
        <v>0</v>
      </c>
      <c r="P796" s="461">
        <v>0</v>
      </c>
      <c r="Q796" s="461">
        <v>0</v>
      </c>
      <c r="R796" s="461">
        <v>0</v>
      </c>
      <c r="S796" s="461">
        <v>0</v>
      </c>
      <c r="T796" s="461">
        <v>0</v>
      </c>
      <c r="U796" s="461">
        <v>0</v>
      </c>
      <c r="V796" s="461">
        <v>0</v>
      </c>
    </row>
    <row r="797" spans="1:22" s="455" customFormat="1" hidden="1">
      <c r="A797" s="455" t="str">
        <f t="shared" si="24"/>
        <v>11719101101600</v>
      </c>
      <c r="B797" s="455">
        <f>VLOOKUP(LEFT($C$3:$C$2600,3),Table!$D$2:$E$88,2,FALSE)</f>
        <v>0</v>
      </c>
      <c r="C797" s="455" t="str">
        <f t="shared" si="25"/>
        <v>9101101600</v>
      </c>
      <c r="D797" s="455" t="e">
        <f>VLOOKUP(G797,Table!$G$3:$H$21,2,FALSE)</f>
        <v>#N/A</v>
      </c>
      <c r="E797" s="452" t="s">
        <v>902</v>
      </c>
      <c r="F797" s="452" t="s">
        <v>1311</v>
      </c>
      <c r="G797" s="452" t="s">
        <v>1081</v>
      </c>
      <c r="H797" s="452" t="s">
        <v>1082</v>
      </c>
      <c r="I797" s="453" t="s">
        <v>844</v>
      </c>
      <c r="J797" s="453">
        <v>1555.14</v>
      </c>
      <c r="K797" s="461">
        <v>518.38</v>
      </c>
      <c r="L797" s="461">
        <v>518.38</v>
      </c>
      <c r="M797" s="461">
        <v>518.38</v>
      </c>
      <c r="N797" s="461">
        <v>0</v>
      </c>
      <c r="O797" s="461">
        <v>0</v>
      </c>
      <c r="P797" s="461">
        <v>0</v>
      </c>
      <c r="Q797" s="461">
        <v>0</v>
      </c>
      <c r="R797" s="461">
        <v>0</v>
      </c>
      <c r="S797" s="461">
        <v>0</v>
      </c>
      <c r="T797" s="461">
        <v>0</v>
      </c>
      <c r="U797" s="461">
        <v>0</v>
      </c>
      <c r="V797" s="461">
        <v>0</v>
      </c>
    </row>
    <row r="798" spans="1:22" s="455" customFormat="1" hidden="1">
      <c r="A798" s="455" t="str">
        <f t="shared" si="24"/>
        <v>11719101101700</v>
      </c>
      <c r="B798" s="455">
        <f>VLOOKUP(LEFT($C$3:$C$2600,3),Table!$D$2:$E$88,2,FALSE)</f>
        <v>0</v>
      </c>
      <c r="C798" s="455" t="str">
        <f t="shared" si="25"/>
        <v>9101101700</v>
      </c>
      <c r="D798" s="455" t="e">
        <f>VLOOKUP(G798,Table!$G$3:$H$21,2,FALSE)</f>
        <v>#N/A</v>
      </c>
      <c r="E798" s="452" t="s">
        <v>902</v>
      </c>
      <c r="F798" s="452" t="s">
        <v>1311</v>
      </c>
      <c r="G798" s="452" t="s">
        <v>1083</v>
      </c>
      <c r="H798" s="452" t="s">
        <v>1084</v>
      </c>
      <c r="I798" s="453" t="s">
        <v>844</v>
      </c>
      <c r="J798" s="453">
        <v>-1822.95</v>
      </c>
      <c r="K798" s="461">
        <v>336.81</v>
      </c>
      <c r="L798" s="461">
        <v>143.08000000000001</v>
      </c>
      <c r="M798" s="461">
        <v>99.38</v>
      </c>
      <c r="N798" s="461">
        <v>0</v>
      </c>
      <c r="O798" s="461">
        <v>0</v>
      </c>
      <c r="P798" s="461">
        <v>0</v>
      </c>
      <c r="Q798" s="461">
        <v>0</v>
      </c>
      <c r="R798" s="461">
        <v>0</v>
      </c>
      <c r="S798" s="461">
        <v>0</v>
      </c>
      <c r="T798" s="461">
        <v>0</v>
      </c>
      <c r="U798" s="461">
        <v>0</v>
      </c>
      <c r="V798" s="461">
        <v>0</v>
      </c>
    </row>
    <row r="799" spans="1:22" s="455" customFormat="1" hidden="1">
      <c r="A799" s="455" t="str">
        <f t="shared" si="24"/>
        <v>11719101101800</v>
      </c>
      <c r="B799" s="455">
        <f>VLOOKUP(LEFT($C$3:$C$2600,3),Table!$D$2:$E$88,2,FALSE)</f>
        <v>0</v>
      </c>
      <c r="C799" s="455" t="str">
        <f t="shared" si="25"/>
        <v>9101101800</v>
      </c>
      <c r="D799" s="455" t="e">
        <f>VLOOKUP(G799,Table!$G$3:$H$21,2,FALSE)</f>
        <v>#N/A</v>
      </c>
      <c r="E799" s="452" t="s">
        <v>902</v>
      </c>
      <c r="F799" s="452" t="s">
        <v>1311</v>
      </c>
      <c r="G799" s="452" t="s">
        <v>1085</v>
      </c>
      <c r="H799" s="452" t="s">
        <v>1086</v>
      </c>
      <c r="I799" s="453" t="s">
        <v>844</v>
      </c>
      <c r="J799" s="453">
        <v>856.8</v>
      </c>
      <c r="K799" s="461">
        <v>318.7</v>
      </c>
      <c r="L799" s="461">
        <v>253</v>
      </c>
      <c r="M799" s="461">
        <v>285.10000000000002</v>
      </c>
      <c r="N799" s="461">
        <v>0</v>
      </c>
      <c r="O799" s="461">
        <v>0</v>
      </c>
      <c r="P799" s="461">
        <v>0</v>
      </c>
      <c r="Q799" s="461">
        <v>0</v>
      </c>
      <c r="R799" s="461">
        <v>0</v>
      </c>
      <c r="S799" s="461">
        <v>0</v>
      </c>
      <c r="T799" s="461">
        <v>0</v>
      </c>
      <c r="U799" s="461">
        <v>0</v>
      </c>
      <c r="V799" s="461">
        <v>0</v>
      </c>
    </row>
    <row r="800" spans="1:22" s="455" customFormat="1" hidden="1">
      <c r="A800" s="455" t="str">
        <f t="shared" si="24"/>
        <v>11719101101900</v>
      </c>
      <c r="B800" s="455">
        <f>VLOOKUP(LEFT($C$3:$C$2600,3),Table!$D$2:$E$88,2,FALSE)</f>
        <v>0</v>
      </c>
      <c r="C800" s="455" t="str">
        <f t="shared" si="25"/>
        <v>9101101900</v>
      </c>
      <c r="D800" s="455" t="e">
        <f>VLOOKUP(G800,Table!$G$3:$H$21,2,FALSE)</f>
        <v>#N/A</v>
      </c>
      <c r="E800" s="452" t="s">
        <v>902</v>
      </c>
      <c r="F800" s="452" t="s">
        <v>1311</v>
      </c>
      <c r="G800" s="452" t="s">
        <v>1087</v>
      </c>
      <c r="H800" s="452" t="s">
        <v>1088</v>
      </c>
      <c r="I800" s="453" t="s">
        <v>844</v>
      </c>
      <c r="J800" s="453">
        <v>78.16</v>
      </c>
      <c r="K800" s="461">
        <v>25.62</v>
      </c>
      <c r="L800" s="461">
        <v>25.8</v>
      </c>
      <c r="M800" s="461">
        <v>26.74</v>
      </c>
      <c r="N800" s="461">
        <v>0</v>
      </c>
      <c r="O800" s="461">
        <v>0</v>
      </c>
      <c r="P800" s="461">
        <v>0</v>
      </c>
      <c r="Q800" s="461">
        <v>0</v>
      </c>
      <c r="R800" s="461">
        <v>0</v>
      </c>
      <c r="S800" s="461">
        <v>0</v>
      </c>
      <c r="T800" s="461">
        <v>0</v>
      </c>
      <c r="U800" s="461">
        <v>0</v>
      </c>
      <c r="V800" s="461">
        <v>0</v>
      </c>
    </row>
    <row r="801" spans="1:22" s="455" customFormat="1" hidden="1">
      <c r="A801" s="455" t="str">
        <f t="shared" si="24"/>
        <v>12109150801000</v>
      </c>
      <c r="B801" s="455">
        <f>VLOOKUP(LEFT($C$3:$C$2600,3),Table!$D$2:$E$88,2,FALSE)</f>
        <v>0</v>
      </c>
      <c r="C801" s="455" t="str">
        <f t="shared" si="25"/>
        <v>9150801000</v>
      </c>
      <c r="D801" s="455" t="e">
        <f>VLOOKUP(G801,Table!$G$3:$H$21,2,FALSE)</f>
        <v>#N/A</v>
      </c>
      <c r="E801" s="452" t="s">
        <v>902</v>
      </c>
      <c r="F801" s="452" t="s">
        <v>1312</v>
      </c>
      <c r="G801" s="452" t="s">
        <v>993</v>
      </c>
      <c r="H801" s="452" t="s">
        <v>994</v>
      </c>
      <c r="I801" s="453" t="s">
        <v>844</v>
      </c>
      <c r="J801" s="453">
        <v>63795</v>
      </c>
      <c r="K801" s="461">
        <v>21785</v>
      </c>
      <c r="L801" s="461">
        <v>22975</v>
      </c>
      <c r="M801" s="461">
        <v>19035</v>
      </c>
      <c r="N801" s="461">
        <v>0</v>
      </c>
      <c r="O801" s="461">
        <v>0</v>
      </c>
      <c r="P801" s="461">
        <v>0</v>
      </c>
      <c r="Q801" s="461">
        <v>0</v>
      </c>
      <c r="R801" s="461">
        <v>0</v>
      </c>
      <c r="S801" s="461">
        <v>0</v>
      </c>
      <c r="T801" s="461">
        <v>0</v>
      </c>
      <c r="U801" s="461">
        <v>0</v>
      </c>
      <c r="V801" s="461">
        <v>0</v>
      </c>
    </row>
    <row r="802" spans="1:22" s="455" customFormat="1" hidden="1">
      <c r="A802" s="455" t="str">
        <f t="shared" si="24"/>
        <v>12109150801400</v>
      </c>
      <c r="B802" s="455">
        <f>VLOOKUP(LEFT($C$3:$C$2600,3),Table!$D$2:$E$88,2,FALSE)</f>
        <v>0</v>
      </c>
      <c r="C802" s="455" t="str">
        <f t="shared" si="25"/>
        <v>9150801400</v>
      </c>
      <c r="D802" s="455" t="e">
        <f>VLOOKUP(G802,Table!$G$3:$H$21,2,FALSE)</f>
        <v>#N/A</v>
      </c>
      <c r="E802" s="452" t="s">
        <v>902</v>
      </c>
      <c r="F802" s="452" t="s">
        <v>1312</v>
      </c>
      <c r="G802" s="452" t="s">
        <v>997</v>
      </c>
      <c r="H802" s="452" t="s">
        <v>998</v>
      </c>
      <c r="I802" s="453" t="s">
        <v>844</v>
      </c>
      <c r="J802" s="453">
        <v>7862</v>
      </c>
      <c r="K802" s="461">
        <v>2726</v>
      </c>
      <c r="L802" s="461">
        <v>2867</v>
      </c>
      <c r="M802" s="461">
        <v>2269</v>
      </c>
      <c r="N802" s="461">
        <v>0</v>
      </c>
      <c r="O802" s="461">
        <v>0</v>
      </c>
      <c r="P802" s="461">
        <v>0</v>
      </c>
      <c r="Q802" s="461">
        <v>0</v>
      </c>
      <c r="R802" s="461">
        <v>0</v>
      </c>
      <c r="S802" s="461">
        <v>0</v>
      </c>
      <c r="T802" s="461">
        <v>0</v>
      </c>
      <c r="U802" s="461">
        <v>0</v>
      </c>
      <c r="V802" s="461">
        <v>0</v>
      </c>
    </row>
    <row r="803" spans="1:22" s="455" customFormat="1" hidden="1">
      <c r="A803" s="455" t="str">
        <f t="shared" si="24"/>
        <v>12109150801500</v>
      </c>
      <c r="B803" s="455">
        <f>VLOOKUP(LEFT($C$3:$C$2600,3),Table!$D$2:$E$88,2,FALSE)</f>
        <v>0</v>
      </c>
      <c r="C803" s="455" t="str">
        <f t="shared" si="25"/>
        <v>9150801500</v>
      </c>
      <c r="D803" s="455" t="e">
        <f>VLOOKUP(G803,Table!$G$3:$H$21,2,FALSE)</f>
        <v>#N/A</v>
      </c>
      <c r="E803" s="452" t="s">
        <v>902</v>
      </c>
      <c r="F803" s="452" t="s">
        <v>1312</v>
      </c>
      <c r="G803" s="452" t="s">
        <v>999</v>
      </c>
      <c r="H803" s="452" t="s">
        <v>1000</v>
      </c>
      <c r="I803" s="453" t="s">
        <v>844</v>
      </c>
      <c r="J803" s="453">
        <v>857.25</v>
      </c>
      <c r="K803" s="461">
        <v>289</v>
      </c>
      <c r="L803" s="461">
        <v>309.89999999999998</v>
      </c>
      <c r="M803" s="461">
        <v>258.35000000000002</v>
      </c>
      <c r="N803" s="461">
        <v>0</v>
      </c>
      <c r="O803" s="461">
        <v>0</v>
      </c>
      <c r="P803" s="461">
        <v>0</v>
      </c>
      <c r="Q803" s="461">
        <v>0</v>
      </c>
      <c r="R803" s="461">
        <v>0</v>
      </c>
      <c r="S803" s="461">
        <v>0</v>
      </c>
      <c r="T803" s="461">
        <v>0</v>
      </c>
      <c r="U803" s="461">
        <v>0</v>
      </c>
      <c r="V803" s="461">
        <v>0</v>
      </c>
    </row>
    <row r="804" spans="1:22" s="455" customFormat="1" hidden="1">
      <c r="A804" s="455" t="str">
        <f t="shared" si="24"/>
        <v>12109150801600</v>
      </c>
      <c r="B804" s="455">
        <f>VLOOKUP(LEFT($C$3:$C$2600,3),Table!$D$2:$E$88,2,FALSE)</f>
        <v>0</v>
      </c>
      <c r="C804" s="455" t="str">
        <f t="shared" si="25"/>
        <v>9150801600</v>
      </c>
      <c r="D804" s="455" t="e">
        <f>VLOOKUP(G804,Table!$G$3:$H$21,2,FALSE)</f>
        <v>#N/A</v>
      </c>
      <c r="E804" s="452" t="s">
        <v>902</v>
      </c>
      <c r="F804" s="452" t="s">
        <v>1312</v>
      </c>
      <c r="G804" s="452" t="s">
        <v>1001</v>
      </c>
      <c r="H804" s="452" t="s">
        <v>1002</v>
      </c>
      <c r="I804" s="453" t="s">
        <v>844</v>
      </c>
      <c r="J804" s="453">
        <v>19254</v>
      </c>
      <c r="K804" s="461">
        <v>6849</v>
      </c>
      <c r="L804" s="461">
        <v>6849</v>
      </c>
      <c r="M804" s="461">
        <v>5556</v>
      </c>
      <c r="N804" s="461">
        <v>0</v>
      </c>
      <c r="O804" s="461">
        <v>0</v>
      </c>
      <c r="P804" s="461">
        <v>0</v>
      </c>
      <c r="Q804" s="461">
        <v>0</v>
      </c>
      <c r="R804" s="461">
        <v>0</v>
      </c>
      <c r="S804" s="461">
        <v>0</v>
      </c>
      <c r="T804" s="461">
        <v>0</v>
      </c>
      <c r="U804" s="461">
        <v>0</v>
      </c>
      <c r="V804" s="461">
        <v>0</v>
      </c>
    </row>
    <row r="805" spans="1:22" s="455" customFormat="1" hidden="1">
      <c r="A805" s="455" t="str">
        <f t="shared" si="24"/>
        <v>12109150801800</v>
      </c>
      <c r="B805" s="455">
        <f>VLOOKUP(LEFT($C$3:$C$2600,3),Table!$D$2:$E$88,2,FALSE)</f>
        <v>0</v>
      </c>
      <c r="C805" s="455" t="str">
        <f t="shared" si="25"/>
        <v>9150801800</v>
      </c>
      <c r="D805" s="455" t="e">
        <f>VLOOKUP(G805,Table!$G$3:$H$21,2,FALSE)</f>
        <v>#N/A</v>
      </c>
      <c r="E805" s="452" t="s">
        <v>902</v>
      </c>
      <c r="F805" s="452" t="s">
        <v>1312</v>
      </c>
      <c r="G805" s="452" t="s">
        <v>1004</v>
      </c>
      <c r="H805" s="452" t="s">
        <v>1005</v>
      </c>
      <c r="I805" s="453" t="s">
        <v>844</v>
      </c>
      <c r="J805" s="453">
        <v>1062.5</v>
      </c>
      <c r="K805" s="461">
        <v>300</v>
      </c>
      <c r="L805" s="461">
        <v>362.5</v>
      </c>
      <c r="M805" s="461">
        <v>400</v>
      </c>
      <c r="N805" s="461">
        <v>0</v>
      </c>
      <c r="O805" s="461">
        <v>0</v>
      </c>
      <c r="P805" s="461">
        <v>0</v>
      </c>
      <c r="Q805" s="461">
        <v>0</v>
      </c>
      <c r="R805" s="461">
        <v>0</v>
      </c>
      <c r="S805" s="461">
        <v>0</v>
      </c>
      <c r="T805" s="461">
        <v>0</v>
      </c>
      <c r="U805" s="461">
        <v>0</v>
      </c>
      <c r="V805" s="461">
        <v>0</v>
      </c>
    </row>
    <row r="806" spans="1:22" s="455" customFormat="1" hidden="1">
      <c r="A806" s="455" t="str">
        <f t="shared" si="24"/>
        <v>12109150801900</v>
      </c>
      <c r="B806" s="455">
        <f>VLOOKUP(LEFT($C$3:$C$2600,3),Table!$D$2:$E$88,2,FALSE)</f>
        <v>0</v>
      </c>
      <c r="C806" s="455" t="str">
        <f t="shared" si="25"/>
        <v>9150801900</v>
      </c>
      <c r="D806" s="455" t="e">
        <f>VLOOKUP(G806,Table!$G$3:$H$21,2,FALSE)</f>
        <v>#N/A</v>
      </c>
      <c r="E806" s="452" t="s">
        <v>902</v>
      </c>
      <c r="F806" s="452" t="s">
        <v>1312</v>
      </c>
      <c r="G806" s="452" t="s">
        <v>1006</v>
      </c>
      <c r="H806" s="452" t="s">
        <v>1007</v>
      </c>
      <c r="I806" s="453" t="s">
        <v>844</v>
      </c>
      <c r="J806" s="453">
        <v>586.85</v>
      </c>
      <c r="K806" s="461">
        <v>208.75</v>
      </c>
      <c r="L806" s="461">
        <v>208.75</v>
      </c>
      <c r="M806" s="461">
        <v>169.35</v>
      </c>
      <c r="N806" s="461">
        <v>0</v>
      </c>
      <c r="O806" s="461">
        <v>0</v>
      </c>
      <c r="P806" s="461">
        <v>0</v>
      </c>
      <c r="Q806" s="461">
        <v>0</v>
      </c>
      <c r="R806" s="461">
        <v>0</v>
      </c>
      <c r="S806" s="461">
        <v>0</v>
      </c>
      <c r="T806" s="461">
        <v>0</v>
      </c>
      <c r="U806" s="461">
        <v>0</v>
      </c>
      <c r="V806" s="461">
        <v>0</v>
      </c>
    </row>
    <row r="807" spans="1:22" s="455" customFormat="1" hidden="1">
      <c r="A807" s="455" t="str">
        <f t="shared" si="24"/>
        <v>12109151001000</v>
      </c>
      <c r="B807" s="455">
        <f>VLOOKUP(LEFT($C$3:$C$2600,3),Table!$D$2:$E$88,2,FALSE)</f>
        <v>0</v>
      </c>
      <c r="C807" s="455" t="str">
        <f t="shared" si="25"/>
        <v>9151001000</v>
      </c>
      <c r="D807" s="455" t="e">
        <f>VLOOKUP(G807,Table!$G$3:$H$21,2,FALSE)</f>
        <v>#N/A</v>
      </c>
      <c r="E807" s="452" t="s">
        <v>902</v>
      </c>
      <c r="F807" s="452" t="s">
        <v>1312</v>
      </c>
      <c r="G807" s="452" t="s">
        <v>1129</v>
      </c>
      <c r="H807" s="452" t="s">
        <v>994</v>
      </c>
      <c r="I807" s="453" t="s">
        <v>844</v>
      </c>
      <c r="J807" s="453">
        <v>21571.8</v>
      </c>
      <c r="K807" s="461">
        <v>7190.6</v>
      </c>
      <c r="L807" s="461">
        <v>7190.6</v>
      </c>
      <c r="M807" s="461">
        <v>7190.6</v>
      </c>
      <c r="N807" s="461">
        <v>0</v>
      </c>
      <c r="O807" s="461">
        <v>0</v>
      </c>
      <c r="P807" s="461">
        <v>0</v>
      </c>
      <c r="Q807" s="461">
        <v>0</v>
      </c>
      <c r="R807" s="461">
        <v>0</v>
      </c>
      <c r="S807" s="461">
        <v>0</v>
      </c>
      <c r="T807" s="461">
        <v>0</v>
      </c>
      <c r="U807" s="461">
        <v>0</v>
      </c>
      <c r="V807" s="461">
        <v>0</v>
      </c>
    </row>
    <row r="808" spans="1:22" s="455" customFormat="1" hidden="1">
      <c r="A808" s="455" t="str">
        <f t="shared" si="24"/>
        <v>12109151001100</v>
      </c>
      <c r="B808" s="455">
        <f>VLOOKUP(LEFT($C$3:$C$2600,3),Table!$D$2:$E$88,2,FALSE)</f>
        <v>0</v>
      </c>
      <c r="C808" s="455" t="str">
        <f t="shared" si="25"/>
        <v>9151001100</v>
      </c>
      <c r="D808" s="455" t="e">
        <f>VLOOKUP(G808,Table!$G$3:$H$21,2,FALSE)</f>
        <v>#N/A</v>
      </c>
      <c r="E808" s="452" t="s">
        <v>902</v>
      </c>
      <c r="F808" s="452" t="s">
        <v>1312</v>
      </c>
      <c r="G808" s="452" t="s">
        <v>1130</v>
      </c>
      <c r="H808" s="452" t="s">
        <v>1131</v>
      </c>
      <c r="I808" s="453" t="s">
        <v>844</v>
      </c>
      <c r="J808" s="453">
        <v>14383.77</v>
      </c>
      <c r="K808" s="461">
        <v>5610.75</v>
      </c>
      <c r="L808" s="461">
        <v>5371.89</v>
      </c>
      <c r="M808" s="461">
        <v>4084.6</v>
      </c>
      <c r="N808" s="461">
        <v>0</v>
      </c>
      <c r="O808" s="461">
        <v>0</v>
      </c>
      <c r="P808" s="461">
        <v>0</v>
      </c>
      <c r="Q808" s="461">
        <v>0</v>
      </c>
      <c r="R808" s="461">
        <v>0</v>
      </c>
      <c r="S808" s="461">
        <v>0</v>
      </c>
      <c r="T808" s="461">
        <v>0</v>
      </c>
      <c r="U808" s="461">
        <v>0</v>
      </c>
      <c r="V808" s="461">
        <v>0</v>
      </c>
    </row>
    <row r="809" spans="1:22" s="455" customFormat="1" hidden="1">
      <c r="A809" s="455" t="str">
        <f t="shared" si="24"/>
        <v>12109151001200</v>
      </c>
      <c r="B809" s="455">
        <f>VLOOKUP(LEFT($C$3:$C$2600,3),Table!$D$2:$E$88,2,FALSE)</f>
        <v>0</v>
      </c>
      <c r="C809" s="455" t="str">
        <f t="shared" si="25"/>
        <v>9151001200</v>
      </c>
      <c r="D809" s="455" t="e">
        <f>VLOOKUP(G809,Table!$G$3:$H$21,2,FALSE)</f>
        <v>#N/A</v>
      </c>
      <c r="E809" s="452" t="s">
        <v>902</v>
      </c>
      <c r="F809" s="452" t="s">
        <v>1312</v>
      </c>
      <c r="G809" s="452" t="s">
        <v>1132</v>
      </c>
      <c r="H809" s="452" t="s">
        <v>996</v>
      </c>
      <c r="I809" s="453" t="s">
        <v>844</v>
      </c>
      <c r="J809" s="453">
        <v>2190</v>
      </c>
      <c r="K809" s="461">
        <v>730</v>
      </c>
      <c r="L809" s="461">
        <v>710.79</v>
      </c>
      <c r="M809" s="461">
        <v>749.21</v>
      </c>
      <c r="N809" s="461">
        <v>0</v>
      </c>
      <c r="O809" s="461">
        <v>0</v>
      </c>
      <c r="P809" s="461">
        <v>0</v>
      </c>
      <c r="Q809" s="461">
        <v>0</v>
      </c>
      <c r="R809" s="461">
        <v>0</v>
      </c>
      <c r="S809" s="461">
        <v>0</v>
      </c>
      <c r="T809" s="461">
        <v>0</v>
      </c>
      <c r="U809" s="461">
        <v>0</v>
      </c>
      <c r="V809" s="461">
        <v>0</v>
      </c>
    </row>
    <row r="810" spans="1:22" s="455" customFormat="1" hidden="1">
      <c r="A810" s="455" t="str">
        <f t="shared" si="24"/>
        <v>12109151001400</v>
      </c>
      <c r="B810" s="455">
        <f>VLOOKUP(LEFT($C$3:$C$2600,3),Table!$D$2:$E$88,2,FALSE)</f>
        <v>0</v>
      </c>
      <c r="C810" s="455" t="str">
        <f t="shared" si="25"/>
        <v>9151001400</v>
      </c>
      <c r="D810" s="455" t="e">
        <f>VLOOKUP(G810,Table!$G$3:$H$21,2,FALSE)</f>
        <v>#N/A</v>
      </c>
      <c r="E810" s="452" t="s">
        <v>902</v>
      </c>
      <c r="F810" s="452" t="s">
        <v>1312</v>
      </c>
      <c r="G810" s="452" t="s">
        <v>1133</v>
      </c>
      <c r="H810" s="452" t="s">
        <v>998</v>
      </c>
      <c r="I810" s="453" t="s">
        <v>844</v>
      </c>
      <c r="J810" s="453">
        <v>3526</v>
      </c>
      <c r="K810" s="461">
        <v>1175</v>
      </c>
      <c r="L810" s="461">
        <v>1174</v>
      </c>
      <c r="M810" s="461">
        <v>1177</v>
      </c>
      <c r="N810" s="461">
        <v>0</v>
      </c>
      <c r="O810" s="461">
        <v>0</v>
      </c>
      <c r="P810" s="461">
        <v>0</v>
      </c>
      <c r="Q810" s="461">
        <v>0</v>
      </c>
      <c r="R810" s="461">
        <v>0</v>
      </c>
      <c r="S810" s="461">
        <v>0</v>
      </c>
      <c r="T810" s="461">
        <v>0</v>
      </c>
      <c r="U810" s="461">
        <v>0</v>
      </c>
      <c r="V810" s="461">
        <v>0</v>
      </c>
    </row>
    <row r="811" spans="1:22" s="455" customFormat="1" hidden="1">
      <c r="A811" s="455" t="str">
        <f t="shared" si="24"/>
        <v>12109151001410</v>
      </c>
      <c r="B811" s="455">
        <f>VLOOKUP(LEFT($C$3:$C$2600,3),Table!$D$2:$E$88,2,FALSE)</f>
        <v>0</v>
      </c>
      <c r="C811" s="455" t="str">
        <f t="shared" si="25"/>
        <v>9151001410</v>
      </c>
      <c r="D811" s="455" t="e">
        <f>VLOOKUP(G811,Table!$G$3:$H$21,2,FALSE)</f>
        <v>#N/A</v>
      </c>
      <c r="E811" s="452" t="s">
        <v>902</v>
      </c>
      <c r="F811" s="452" t="s">
        <v>1312</v>
      </c>
      <c r="G811" s="452" t="s">
        <v>1134</v>
      </c>
      <c r="H811" s="452" t="s">
        <v>1078</v>
      </c>
      <c r="I811" s="453" t="s">
        <v>844</v>
      </c>
      <c r="J811" s="453">
        <v>135</v>
      </c>
      <c r="K811" s="461">
        <v>45</v>
      </c>
      <c r="L811" s="461">
        <v>45</v>
      </c>
      <c r="M811" s="461">
        <v>45</v>
      </c>
      <c r="N811" s="461">
        <v>0</v>
      </c>
      <c r="O811" s="461">
        <v>0</v>
      </c>
      <c r="P811" s="461">
        <v>0</v>
      </c>
      <c r="Q811" s="461">
        <v>0</v>
      </c>
      <c r="R811" s="461">
        <v>0</v>
      </c>
      <c r="S811" s="461">
        <v>0</v>
      </c>
      <c r="T811" s="461">
        <v>0</v>
      </c>
      <c r="U811" s="461">
        <v>0</v>
      </c>
      <c r="V811" s="461">
        <v>0</v>
      </c>
    </row>
    <row r="812" spans="1:22" s="455" customFormat="1" hidden="1">
      <c r="A812" s="455" t="str">
        <f t="shared" si="24"/>
        <v>12109151001500</v>
      </c>
      <c r="B812" s="455">
        <f>VLOOKUP(LEFT($C$3:$C$2600,3),Table!$D$2:$E$88,2,FALSE)</f>
        <v>0</v>
      </c>
      <c r="C812" s="455" t="str">
        <f t="shared" si="25"/>
        <v>9151001500</v>
      </c>
      <c r="D812" s="455" t="e">
        <f>VLOOKUP(G812,Table!$G$3:$H$21,2,FALSE)</f>
        <v>#N/A</v>
      </c>
      <c r="E812" s="452" t="s">
        <v>902</v>
      </c>
      <c r="F812" s="452" t="s">
        <v>1312</v>
      </c>
      <c r="G812" s="452" t="s">
        <v>1135</v>
      </c>
      <c r="H812" s="452" t="s">
        <v>1136</v>
      </c>
      <c r="I812" s="453" t="s">
        <v>844</v>
      </c>
      <c r="J812" s="453">
        <v>547.9</v>
      </c>
      <c r="K812" s="461">
        <v>180.3</v>
      </c>
      <c r="L812" s="461">
        <v>183.8</v>
      </c>
      <c r="M812" s="461">
        <v>183.8</v>
      </c>
      <c r="N812" s="461">
        <v>0</v>
      </c>
      <c r="O812" s="461">
        <v>0</v>
      </c>
      <c r="P812" s="461">
        <v>0</v>
      </c>
      <c r="Q812" s="461">
        <v>0</v>
      </c>
      <c r="R812" s="461">
        <v>0</v>
      </c>
      <c r="S812" s="461">
        <v>0</v>
      </c>
      <c r="T812" s="461">
        <v>0</v>
      </c>
      <c r="U812" s="461">
        <v>0</v>
      </c>
      <c r="V812" s="461">
        <v>0</v>
      </c>
    </row>
    <row r="813" spans="1:22" s="455" customFormat="1" hidden="1">
      <c r="A813" s="455" t="str">
        <f t="shared" si="24"/>
        <v>12109151001600</v>
      </c>
      <c r="B813" s="455">
        <f>VLOOKUP(LEFT($C$3:$C$2600,3),Table!$D$2:$E$88,2,FALSE)</f>
        <v>0</v>
      </c>
      <c r="C813" s="455" t="str">
        <f t="shared" si="25"/>
        <v>9151001600</v>
      </c>
      <c r="D813" s="455" t="e">
        <f>VLOOKUP(G813,Table!$G$3:$H$21,2,FALSE)</f>
        <v>#N/A</v>
      </c>
      <c r="E813" s="452" t="s">
        <v>902</v>
      </c>
      <c r="F813" s="452" t="s">
        <v>1312</v>
      </c>
      <c r="G813" s="452" t="s">
        <v>1137</v>
      </c>
      <c r="H813" s="452" t="s">
        <v>1002</v>
      </c>
      <c r="I813" s="453" t="s">
        <v>844</v>
      </c>
      <c r="J813" s="453">
        <v>4921.8599999999997</v>
      </c>
      <c r="K813" s="461">
        <v>1640.62</v>
      </c>
      <c r="L813" s="461">
        <v>1640.62</v>
      </c>
      <c r="M813" s="461">
        <v>1640.62</v>
      </c>
      <c r="N813" s="461">
        <v>0</v>
      </c>
      <c r="O813" s="461">
        <v>0</v>
      </c>
      <c r="P813" s="461">
        <v>0</v>
      </c>
      <c r="Q813" s="461">
        <v>0</v>
      </c>
      <c r="R813" s="461">
        <v>0</v>
      </c>
      <c r="S813" s="461">
        <v>0</v>
      </c>
      <c r="T813" s="461">
        <v>0</v>
      </c>
      <c r="U813" s="461">
        <v>0</v>
      </c>
      <c r="V813" s="461">
        <v>0</v>
      </c>
    </row>
    <row r="814" spans="1:22" s="455" customFormat="1" hidden="1">
      <c r="A814" s="455" t="str">
        <f t="shared" si="24"/>
        <v>12109151001700</v>
      </c>
      <c r="B814" s="455">
        <f>VLOOKUP(LEFT($C$3:$C$2600,3),Table!$D$2:$E$88,2,FALSE)</f>
        <v>0</v>
      </c>
      <c r="C814" s="455" t="str">
        <f t="shared" si="25"/>
        <v>9151001700</v>
      </c>
      <c r="D814" s="455" t="e">
        <f>VLOOKUP(G814,Table!$G$3:$H$21,2,FALSE)</f>
        <v>#N/A</v>
      </c>
      <c r="E814" s="452" t="s">
        <v>902</v>
      </c>
      <c r="F814" s="452" t="s">
        <v>1312</v>
      </c>
      <c r="G814" s="452" t="s">
        <v>1138</v>
      </c>
      <c r="H814" s="452" t="s">
        <v>1313</v>
      </c>
      <c r="I814" s="453" t="s">
        <v>844</v>
      </c>
      <c r="J814" s="453">
        <v>-8779.31</v>
      </c>
      <c r="K814" s="461">
        <v>-96.27</v>
      </c>
      <c r="L814" s="461">
        <v>369.73</v>
      </c>
      <c r="M814" s="461">
        <v>55.74</v>
      </c>
      <c r="N814" s="461">
        <v>0</v>
      </c>
      <c r="O814" s="461">
        <v>0</v>
      </c>
      <c r="P814" s="461">
        <v>0</v>
      </c>
      <c r="Q814" s="461">
        <v>0</v>
      </c>
      <c r="R814" s="461">
        <v>0</v>
      </c>
      <c r="S814" s="461">
        <v>0</v>
      </c>
      <c r="T814" s="461">
        <v>0</v>
      </c>
      <c r="U814" s="461">
        <v>0</v>
      </c>
      <c r="V814" s="461">
        <v>0</v>
      </c>
    </row>
    <row r="815" spans="1:22" s="455" customFormat="1" hidden="1">
      <c r="A815" s="455" t="str">
        <f t="shared" si="24"/>
        <v>12109151001800</v>
      </c>
      <c r="B815" s="455">
        <f>VLOOKUP(LEFT($C$3:$C$2600,3),Table!$D$2:$E$88,2,FALSE)</f>
        <v>0</v>
      </c>
      <c r="C815" s="455" t="str">
        <f t="shared" si="25"/>
        <v>9151001800</v>
      </c>
      <c r="D815" s="455" t="e">
        <f>VLOOKUP(G815,Table!$G$3:$H$21,2,FALSE)</f>
        <v>#N/A</v>
      </c>
      <c r="E815" s="452" t="s">
        <v>902</v>
      </c>
      <c r="F815" s="452" t="s">
        <v>1312</v>
      </c>
      <c r="G815" s="452" t="s">
        <v>1139</v>
      </c>
      <c r="H815" s="452" t="s">
        <v>1005</v>
      </c>
      <c r="I815" s="453" t="s">
        <v>844</v>
      </c>
      <c r="J815" s="453">
        <v>1831.3</v>
      </c>
      <c r="K815" s="461">
        <v>651.29999999999995</v>
      </c>
      <c r="L815" s="461">
        <v>627.9</v>
      </c>
      <c r="M815" s="461">
        <v>552.1</v>
      </c>
      <c r="N815" s="461">
        <v>0</v>
      </c>
      <c r="O815" s="461">
        <v>0</v>
      </c>
      <c r="P815" s="461">
        <v>0</v>
      </c>
      <c r="Q815" s="461">
        <v>0</v>
      </c>
      <c r="R815" s="461">
        <v>0</v>
      </c>
      <c r="S815" s="461">
        <v>0</v>
      </c>
      <c r="T815" s="461">
        <v>0</v>
      </c>
      <c r="U815" s="461">
        <v>0</v>
      </c>
      <c r="V815" s="461">
        <v>0</v>
      </c>
    </row>
    <row r="816" spans="1:22" s="455" customFormat="1" hidden="1">
      <c r="A816" s="455" t="str">
        <f t="shared" si="24"/>
        <v>12109151001900</v>
      </c>
      <c r="B816" s="455">
        <f>VLOOKUP(LEFT($C$3:$C$2600,3),Table!$D$2:$E$88,2,FALSE)</f>
        <v>0</v>
      </c>
      <c r="C816" s="455" t="str">
        <f t="shared" si="25"/>
        <v>9151001900</v>
      </c>
      <c r="D816" s="455" t="e">
        <f>VLOOKUP(G816,Table!$G$3:$H$21,2,FALSE)</f>
        <v>#N/A</v>
      </c>
      <c r="E816" s="452" t="s">
        <v>902</v>
      </c>
      <c r="F816" s="452" t="s">
        <v>1312</v>
      </c>
      <c r="G816" s="452" t="s">
        <v>1140</v>
      </c>
      <c r="H816" s="452" t="s">
        <v>1007</v>
      </c>
      <c r="I816" s="453" t="s">
        <v>844</v>
      </c>
      <c r="J816" s="453">
        <v>238.2</v>
      </c>
      <c r="K816" s="461">
        <v>79.319999999999993</v>
      </c>
      <c r="L816" s="461">
        <v>79.14</v>
      </c>
      <c r="M816" s="461">
        <v>79.739999999999995</v>
      </c>
      <c r="N816" s="461">
        <v>0</v>
      </c>
      <c r="O816" s="461">
        <v>0</v>
      </c>
      <c r="P816" s="461">
        <v>0</v>
      </c>
      <c r="Q816" s="461">
        <v>0</v>
      </c>
      <c r="R816" s="461">
        <v>0</v>
      </c>
      <c r="S816" s="461">
        <v>0</v>
      </c>
      <c r="T816" s="461">
        <v>0</v>
      </c>
      <c r="U816" s="461">
        <v>0</v>
      </c>
      <c r="V816" s="461">
        <v>0</v>
      </c>
    </row>
    <row r="817" spans="1:22" s="455" customFormat="1" hidden="1">
      <c r="A817" s="455" t="str">
        <f t="shared" si="24"/>
        <v>12109151301500</v>
      </c>
      <c r="B817" s="455">
        <f>VLOOKUP(LEFT($C$3:$C$2600,3),Table!$D$2:$E$88,2,FALSE)</f>
        <v>0</v>
      </c>
      <c r="C817" s="455" t="str">
        <f t="shared" si="25"/>
        <v>9151301500</v>
      </c>
      <c r="D817" s="455" t="e">
        <f>VLOOKUP(G817,Table!$G$3:$H$21,2,FALSE)</f>
        <v>#N/A</v>
      </c>
      <c r="E817" s="452" t="s">
        <v>902</v>
      </c>
      <c r="F817" s="452" t="s">
        <v>1312</v>
      </c>
      <c r="G817" s="452" t="s">
        <v>1152</v>
      </c>
      <c r="H817" s="452" t="s">
        <v>1153</v>
      </c>
      <c r="I817" s="453" t="s">
        <v>844</v>
      </c>
      <c r="J817" s="453">
        <v>135</v>
      </c>
      <c r="K817" s="461">
        <v>67.5</v>
      </c>
      <c r="L817" s="461">
        <v>0</v>
      </c>
      <c r="M817" s="461">
        <v>67.5</v>
      </c>
      <c r="N817" s="461">
        <v>0</v>
      </c>
      <c r="O817" s="461">
        <v>0</v>
      </c>
      <c r="P817" s="461">
        <v>0</v>
      </c>
      <c r="Q817" s="461">
        <v>0</v>
      </c>
      <c r="R817" s="461">
        <v>0</v>
      </c>
      <c r="S817" s="461">
        <v>0</v>
      </c>
      <c r="T817" s="461">
        <v>0</v>
      </c>
      <c r="U817" s="461">
        <v>0</v>
      </c>
      <c r="V817" s="461">
        <v>0</v>
      </c>
    </row>
    <row r="818" spans="1:22" s="455" customFormat="1" hidden="1">
      <c r="A818" s="455" t="str">
        <f t="shared" si="24"/>
        <v>12109151302500</v>
      </c>
      <c r="B818" s="455">
        <f>VLOOKUP(LEFT($C$3:$C$2600,3),Table!$D$2:$E$88,2,FALSE)</f>
        <v>0</v>
      </c>
      <c r="C818" s="455" t="str">
        <f t="shared" si="25"/>
        <v>9151302500</v>
      </c>
      <c r="D818" s="455" t="e">
        <f>VLOOKUP(G818,Table!$G$3:$H$21,2,FALSE)</f>
        <v>#N/A</v>
      </c>
      <c r="E818" s="452" t="s">
        <v>902</v>
      </c>
      <c r="F818" s="452" t="s">
        <v>1312</v>
      </c>
      <c r="G818" s="452" t="s">
        <v>1154</v>
      </c>
      <c r="H818" s="452" t="s">
        <v>1155</v>
      </c>
      <c r="I818" s="453" t="s">
        <v>844</v>
      </c>
      <c r="J818" s="453">
        <v>1660.9</v>
      </c>
      <c r="K818" s="461">
        <v>660</v>
      </c>
      <c r="L818" s="461">
        <v>103</v>
      </c>
      <c r="M818" s="461">
        <v>9377.9</v>
      </c>
      <c r="N818" s="461">
        <v>0</v>
      </c>
      <c r="O818" s="461">
        <v>0</v>
      </c>
      <c r="P818" s="461">
        <v>0</v>
      </c>
      <c r="Q818" s="461">
        <v>0</v>
      </c>
      <c r="R818" s="461">
        <v>0</v>
      </c>
      <c r="S818" s="461">
        <v>0</v>
      </c>
      <c r="T818" s="461">
        <v>0</v>
      </c>
      <c r="U818" s="461">
        <v>0</v>
      </c>
      <c r="V818" s="461">
        <v>0</v>
      </c>
    </row>
    <row r="819" spans="1:22" s="455" customFormat="1" hidden="1">
      <c r="A819" s="455" t="str">
        <f t="shared" si="24"/>
        <v>12109151501100</v>
      </c>
      <c r="B819" s="455">
        <f>VLOOKUP(LEFT($C$3:$C$2600,3),Table!$D$2:$E$88,2,FALSE)</f>
        <v>0</v>
      </c>
      <c r="C819" s="455" t="str">
        <f t="shared" si="25"/>
        <v>9151501100</v>
      </c>
      <c r="D819" s="455" t="e">
        <f>VLOOKUP(G819,Table!$G$3:$H$21,2,FALSE)</f>
        <v>#N/A</v>
      </c>
      <c r="E819" s="452" t="s">
        <v>902</v>
      </c>
      <c r="F819" s="452" t="s">
        <v>1312</v>
      </c>
      <c r="G819" s="452" t="s">
        <v>1009</v>
      </c>
      <c r="H819" s="452" t="s">
        <v>1010</v>
      </c>
      <c r="I819" s="453" t="s">
        <v>844</v>
      </c>
      <c r="J819" s="453">
        <v>490.2</v>
      </c>
      <c r="K819" s="461">
        <v>196.8</v>
      </c>
      <c r="L819" s="461">
        <v>181.8</v>
      </c>
      <c r="M819" s="461">
        <v>111.6</v>
      </c>
      <c r="N819" s="461">
        <v>0</v>
      </c>
      <c r="O819" s="461">
        <v>0</v>
      </c>
      <c r="P819" s="461">
        <v>0</v>
      </c>
      <c r="Q819" s="461">
        <v>0</v>
      </c>
      <c r="R819" s="461">
        <v>0</v>
      </c>
      <c r="S819" s="461">
        <v>0</v>
      </c>
      <c r="T819" s="461">
        <v>0</v>
      </c>
      <c r="U819" s="461">
        <v>0</v>
      </c>
      <c r="V819" s="461">
        <v>0</v>
      </c>
    </row>
    <row r="820" spans="1:22" s="455" customFormat="1" hidden="1">
      <c r="A820" s="455" t="str">
        <f t="shared" si="24"/>
        <v>12109151501400</v>
      </c>
      <c r="B820" s="455">
        <f>VLOOKUP(LEFT($C$3:$C$2600,3),Table!$D$2:$E$88,2,FALSE)</f>
        <v>0</v>
      </c>
      <c r="C820" s="455" t="str">
        <f t="shared" si="25"/>
        <v>9151501400</v>
      </c>
      <c r="D820" s="455" t="e">
        <f>VLOOKUP(G820,Table!$G$3:$H$21,2,FALSE)</f>
        <v>#N/A</v>
      </c>
      <c r="E820" s="452" t="s">
        <v>902</v>
      </c>
      <c r="F820" s="452" t="s">
        <v>1312</v>
      </c>
      <c r="G820" s="452" t="s">
        <v>1011</v>
      </c>
      <c r="H820" s="452" t="s">
        <v>1012</v>
      </c>
      <c r="I820" s="453" t="s">
        <v>844</v>
      </c>
      <c r="J820" s="453">
        <v>364.4</v>
      </c>
      <c r="K820" s="461">
        <v>18.8</v>
      </c>
      <c r="L820" s="461">
        <v>175.8</v>
      </c>
      <c r="M820" s="461">
        <v>169.8</v>
      </c>
      <c r="N820" s="461">
        <v>0</v>
      </c>
      <c r="O820" s="461">
        <v>0</v>
      </c>
      <c r="P820" s="461">
        <v>0</v>
      </c>
      <c r="Q820" s="461">
        <v>0</v>
      </c>
      <c r="R820" s="461">
        <v>0</v>
      </c>
      <c r="S820" s="461">
        <v>0</v>
      </c>
      <c r="T820" s="461">
        <v>0</v>
      </c>
      <c r="U820" s="461">
        <v>0</v>
      </c>
      <c r="V820" s="461">
        <v>0</v>
      </c>
    </row>
    <row r="821" spans="1:22" s="455" customFormat="1" hidden="1">
      <c r="A821" s="455" t="str">
        <f t="shared" si="24"/>
        <v>12109151502000</v>
      </c>
      <c r="B821" s="455">
        <f>VLOOKUP(LEFT($C$3:$C$2600,3),Table!$D$2:$E$88,2,FALSE)</f>
        <v>0</v>
      </c>
      <c r="C821" s="455" t="str">
        <f t="shared" si="25"/>
        <v>9151502000</v>
      </c>
      <c r="D821" s="455" t="e">
        <f>VLOOKUP(G821,Table!$G$3:$H$21,2,FALSE)</f>
        <v>#N/A</v>
      </c>
      <c r="E821" s="452" t="s">
        <v>902</v>
      </c>
      <c r="F821" s="452" t="s">
        <v>1312</v>
      </c>
      <c r="G821" s="452" t="s">
        <v>1206</v>
      </c>
      <c r="H821" s="452" t="s">
        <v>1207</v>
      </c>
      <c r="I821" s="453" t="s">
        <v>844</v>
      </c>
      <c r="J821" s="453">
        <v>2757</v>
      </c>
      <c r="K821" s="461">
        <v>0</v>
      </c>
      <c r="L821" s="461">
        <v>906</v>
      </c>
      <c r="M821" s="461">
        <v>1851</v>
      </c>
      <c r="N821" s="461">
        <v>0</v>
      </c>
      <c r="O821" s="461">
        <v>0</v>
      </c>
      <c r="P821" s="461">
        <v>0</v>
      </c>
      <c r="Q821" s="461">
        <v>0</v>
      </c>
      <c r="R821" s="461">
        <v>0</v>
      </c>
      <c r="S821" s="461">
        <v>0</v>
      </c>
      <c r="T821" s="461">
        <v>0</v>
      </c>
      <c r="U821" s="461">
        <v>0</v>
      </c>
      <c r="V821" s="461">
        <v>0</v>
      </c>
    </row>
    <row r="822" spans="1:22" s="455" customFormat="1" hidden="1">
      <c r="A822" s="455" t="str">
        <f t="shared" si="24"/>
        <v>12109151601001</v>
      </c>
      <c r="B822" s="455">
        <f>VLOOKUP(LEFT($C$3:$C$2600,3),Table!$D$2:$E$88,2,FALSE)</f>
        <v>0</v>
      </c>
      <c r="C822" s="455" t="str">
        <f t="shared" si="25"/>
        <v>9151601001</v>
      </c>
      <c r="D822" s="455" t="e">
        <f>VLOOKUP(G822,Table!$G$3:$H$21,2,FALSE)</f>
        <v>#N/A</v>
      </c>
      <c r="E822" s="452" t="s">
        <v>902</v>
      </c>
      <c r="F822" s="452" t="s">
        <v>1312</v>
      </c>
      <c r="G822" s="452" t="s">
        <v>1015</v>
      </c>
      <c r="H822" s="452" t="s">
        <v>1016</v>
      </c>
      <c r="I822" s="453" t="s">
        <v>844</v>
      </c>
      <c r="J822" s="453">
        <v>137.99</v>
      </c>
      <c r="K822" s="461">
        <v>73.8</v>
      </c>
      <c r="L822" s="461">
        <v>20.75</v>
      </c>
      <c r="M822" s="461">
        <v>43.44</v>
      </c>
      <c r="N822" s="461">
        <v>0</v>
      </c>
      <c r="O822" s="461">
        <v>0</v>
      </c>
      <c r="P822" s="461">
        <v>0</v>
      </c>
      <c r="Q822" s="461">
        <v>0</v>
      </c>
      <c r="R822" s="461">
        <v>0</v>
      </c>
      <c r="S822" s="461">
        <v>0</v>
      </c>
      <c r="T822" s="461">
        <v>0</v>
      </c>
      <c r="U822" s="461">
        <v>0</v>
      </c>
      <c r="V822" s="461">
        <v>0</v>
      </c>
    </row>
    <row r="823" spans="1:22" s="455" customFormat="1" hidden="1">
      <c r="A823" s="455" t="str">
        <f t="shared" si="24"/>
        <v>12109151602001</v>
      </c>
      <c r="B823" s="455">
        <f>VLOOKUP(LEFT($C$3:$C$2600,3),Table!$D$2:$E$88,2,FALSE)</f>
        <v>0</v>
      </c>
      <c r="C823" s="455" t="str">
        <f t="shared" si="25"/>
        <v>9151602001</v>
      </c>
      <c r="D823" s="455" t="e">
        <f>VLOOKUP(G823,Table!$G$3:$H$21,2,FALSE)</f>
        <v>#N/A</v>
      </c>
      <c r="E823" s="452" t="s">
        <v>902</v>
      </c>
      <c r="F823" s="452" t="s">
        <v>1312</v>
      </c>
      <c r="G823" s="452" t="s">
        <v>2533</v>
      </c>
      <c r="H823" s="452" t="s">
        <v>2534</v>
      </c>
      <c r="I823" s="453" t="s">
        <v>844</v>
      </c>
      <c r="J823" s="453">
        <v>101</v>
      </c>
      <c r="K823" s="461">
        <v>0</v>
      </c>
      <c r="L823" s="461">
        <v>21.39</v>
      </c>
      <c r="M823" s="461">
        <v>79.61</v>
      </c>
      <c r="N823" s="461">
        <v>0</v>
      </c>
      <c r="O823" s="461">
        <v>0</v>
      </c>
      <c r="P823" s="461">
        <v>0</v>
      </c>
      <c r="Q823" s="461">
        <v>0</v>
      </c>
      <c r="R823" s="461">
        <v>0</v>
      </c>
      <c r="S823" s="461">
        <v>0</v>
      </c>
      <c r="T823" s="461">
        <v>0</v>
      </c>
      <c r="U823" s="461">
        <v>0</v>
      </c>
      <c r="V823" s="461">
        <v>0</v>
      </c>
    </row>
    <row r="824" spans="1:22" s="455" customFormat="1" hidden="1">
      <c r="A824" s="455" t="str">
        <f t="shared" si="24"/>
        <v>12109151602100</v>
      </c>
      <c r="B824" s="455">
        <f>VLOOKUP(LEFT($C$3:$C$2600,3),Table!$D$2:$E$88,2,FALSE)</f>
        <v>0</v>
      </c>
      <c r="C824" s="455" t="str">
        <f t="shared" si="25"/>
        <v>9151602100</v>
      </c>
      <c r="D824" s="455" t="e">
        <f>VLOOKUP(G824,Table!$G$3:$H$21,2,FALSE)</f>
        <v>#N/A</v>
      </c>
      <c r="E824" s="452" t="s">
        <v>902</v>
      </c>
      <c r="F824" s="452" t="s">
        <v>1312</v>
      </c>
      <c r="G824" s="452" t="s">
        <v>1210</v>
      </c>
      <c r="H824" s="452" t="s">
        <v>1211</v>
      </c>
      <c r="I824" s="453" t="s">
        <v>844</v>
      </c>
      <c r="J824" s="453">
        <v>1189.42</v>
      </c>
      <c r="K824" s="461">
        <v>0</v>
      </c>
      <c r="L824" s="461">
        <v>402.17</v>
      </c>
      <c r="M824" s="461">
        <v>787.25</v>
      </c>
      <c r="N824" s="461">
        <v>0</v>
      </c>
      <c r="O824" s="461">
        <v>0</v>
      </c>
      <c r="P824" s="461">
        <v>0</v>
      </c>
      <c r="Q824" s="461">
        <v>0</v>
      </c>
      <c r="R824" s="461">
        <v>0</v>
      </c>
      <c r="S824" s="461">
        <v>0</v>
      </c>
      <c r="T824" s="461">
        <v>0</v>
      </c>
      <c r="U824" s="461">
        <v>0</v>
      </c>
      <c r="V824" s="461">
        <v>0</v>
      </c>
    </row>
    <row r="825" spans="1:22" s="455" customFormat="1" hidden="1">
      <c r="A825" s="455" t="str">
        <f t="shared" si="24"/>
        <v>12109151701010</v>
      </c>
      <c r="B825" s="455">
        <f>VLOOKUP(LEFT($C$3:$C$2600,3),Table!$D$2:$E$88,2,FALSE)</f>
        <v>0</v>
      </c>
      <c r="C825" s="455" t="str">
        <f t="shared" si="25"/>
        <v>9151701010</v>
      </c>
      <c r="D825" s="455" t="e">
        <f>VLOOKUP(G825,Table!$G$3:$H$21,2,FALSE)</f>
        <v>#N/A</v>
      </c>
      <c r="E825" s="452" t="s">
        <v>902</v>
      </c>
      <c r="F825" s="452" t="s">
        <v>1312</v>
      </c>
      <c r="G825" s="452" t="s">
        <v>1315</v>
      </c>
      <c r="H825" s="452" t="s">
        <v>1316</v>
      </c>
      <c r="I825" s="453" t="s">
        <v>844</v>
      </c>
      <c r="J825" s="453">
        <v>0</v>
      </c>
      <c r="K825" s="461">
        <v>0</v>
      </c>
      <c r="L825" s="461">
        <v>0</v>
      </c>
      <c r="M825" s="461">
        <v>-54.98</v>
      </c>
      <c r="N825" s="461">
        <v>0</v>
      </c>
      <c r="O825" s="461">
        <v>0</v>
      </c>
      <c r="P825" s="461">
        <v>0</v>
      </c>
      <c r="Q825" s="461">
        <v>0</v>
      </c>
      <c r="R825" s="461">
        <v>0</v>
      </c>
      <c r="S825" s="461">
        <v>0</v>
      </c>
      <c r="T825" s="461">
        <v>0</v>
      </c>
      <c r="U825" s="461">
        <v>0</v>
      </c>
      <c r="V825" s="461">
        <v>0</v>
      </c>
    </row>
    <row r="826" spans="1:22" s="455" customFormat="1" hidden="1">
      <c r="A826" s="455" t="str">
        <f t="shared" si="24"/>
        <v>12109151801100</v>
      </c>
      <c r="B826" s="455">
        <f>VLOOKUP(LEFT($C$3:$C$2600,3),Table!$D$2:$E$88,2,FALSE)</f>
        <v>0</v>
      </c>
      <c r="C826" s="455" t="str">
        <f t="shared" si="25"/>
        <v>9151801100</v>
      </c>
      <c r="D826" s="455" t="e">
        <f>VLOOKUP(G826,Table!$G$3:$H$21,2,FALSE)</f>
        <v>#N/A</v>
      </c>
      <c r="E826" s="452" t="s">
        <v>902</v>
      </c>
      <c r="F826" s="452" t="s">
        <v>1312</v>
      </c>
      <c r="G826" s="452" t="s">
        <v>1017</v>
      </c>
      <c r="H826" s="452" t="s">
        <v>1018</v>
      </c>
      <c r="I826" s="453" t="s">
        <v>844</v>
      </c>
      <c r="J826" s="453">
        <v>437.78</v>
      </c>
      <c r="K826" s="461">
        <v>90</v>
      </c>
      <c r="L826" s="461">
        <v>24.61</v>
      </c>
      <c r="M826" s="461">
        <v>323.17</v>
      </c>
      <c r="N826" s="461">
        <v>0</v>
      </c>
      <c r="O826" s="461">
        <v>0</v>
      </c>
      <c r="P826" s="461">
        <v>0</v>
      </c>
      <c r="Q826" s="461">
        <v>0</v>
      </c>
      <c r="R826" s="461">
        <v>0</v>
      </c>
      <c r="S826" s="461">
        <v>0</v>
      </c>
      <c r="T826" s="461">
        <v>0</v>
      </c>
      <c r="U826" s="461">
        <v>0</v>
      </c>
      <c r="V826" s="461">
        <v>0</v>
      </c>
    </row>
    <row r="827" spans="1:22" s="455" customFormat="1" hidden="1">
      <c r="A827" s="455" t="str">
        <f t="shared" si="24"/>
        <v>12109151802100</v>
      </c>
      <c r="B827" s="455">
        <f>VLOOKUP(LEFT($C$3:$C$2600,3),Table!$D$2:$E$88,2,FALSE)</f>
        <v>0</v>
      </c>
      <c r="C827" s="455" t="str">
        <f t="shared" si="25"/>
        <v>9151802100</v>
      </c>
      <c r="D827" s="455" t="e">
        <f>VLOOKUP(G827,Table!$G$3:$H$21,2,FALSE)</f>
        <v>#N/A</v>
      </c>
      <c r="E827" s="452" t="s">
        <v>902</v>
      </c>
      <c r="F827" s="452" t="s">
        <v>1312</v>
      </c>
      <c r="G827" s="452" t="s">
        <v>1216</v>
      </c>
      <c r="H827" s="452" t="s">
        <v>1217</v>
      </c>
      <c r="I827" s="453" t="s">
        <v>844</v>
      </c>
      <c r="J827" s="453">
        <v>207</v>
      </c>
      <c r="K827" s="461">
        <v>207</v>
      </c>
      <c r="L827" s="461">
        <v>0</v>
      </c>
      <c r="M827" s="461">
        <v>0</v>
      </c>
      <c r="N827" s="461">
        <v>0</v>
      </c>
      <c r="O827" s="461">
        <v>0</v>
      </c>
      <c r="P827" s="461">
        <v>0</v>
      </c>
      <c r="Q827" s="461">
        <v>0</v>
      </c>
      <c r="R827" s="461">
        <v>0</v>
      </c>
      <c r="S827" s="461">
        <v>0</v>
      </c>
      <c r="T827" s="461">
        <v>0</v>
      </c>
      <c r="U827" s="461">
        <v>0</v>
      </c>
      <c r="V827" s="461">
        <v>0</v>
      </c>
    </row>
    <row r="828" spans="1:22" s="455" customFormat="1" hidden="1">
      <c r="A828" s="455" t="str">
        <f t="shared" si="24"/>
        <v>12109152050021</v>
      </c>
      <c r="B828" s="455">
        <f>VLOOKUP(LEFT($C$3:$C$2600,3),Table!$D$2:$E$88,2,FALSE)</f>
        <v>0</v>
      </c>
      <c r="C828" s="455" t="str">
        <f t="shared" si="25"/>
        <v>9152050021</v>
      </c>
      <c r="D828" s="455" t="e">
        <f>VLOOKUP(G828,Table!$G$3:$H$21,2,FALSE)</f>
        <v>#N/A</v>
      </c>
      <c r="E828" s="452" t="s">
        <v>902</v>
      </c>
      <c r="F828" s="452" t="s">
        <v>1312</v>
      </c>
      <c r="G828" s="452" t="s">
        <v>1158</v>
      </c>
      <c r="H828" s="452" t="s">
        <v>1159</v>
      </c>
      <c r="I828" s="453" t="s">
        <v>844</v>
      </c>
      <c r="J828" s="453">
        <v>390</v>
      </c>
      <c r="K828" s="461">
        <v>0</v>
      </c>
      <c r="L828" s="461">
        <v>390</v>
      </c>
      <c r="M828" s="461">
        <v>0</v>
      </c>
      <c r="N828" s="461">
        <v>0</v>
      </c>
      <c r="O828" s="461">
        <v>0</v>
      </c>
      <c r="P828" s="461">
        <v>0</v>
      </c>
      <c r="Q828" s="461">
        <v>0</v>
      </c>
      <c r="R828" s="461">
        <v>0</v>
      </c>
      <c r="S828" s="461">
        <v>0</v>
      </c>
      <c r="T828" s="461">
        <v>0</v>
      </c>
      <c r="U828" s="461">
        <v>0</v>
      </c>
      <c r="V828" s="461">
        <v>0</v>
      </c>
    </row>
    <row r="829" spans="1:22" s="455" customFormat="1" hidden="1">
      <c r="A829" s="455" t="str">
        <f t="shared" si="24"/>
        <v>12109152072071</v>
      </c>
      <c r="B829" s="455">
        <f>VLOOKUP(LEFT($C$3:$C$2600,3),Table!$D$2:$E$88,2,FALSE)</f>
        <v>0</v>
      </c>
      <c r="C829" s="455" t="str">
        <f t="shared" si="25"/>
        <v>9152072071</v>
      </c>
      <c r="D829" s="455" t="e">
        <f>VLOOKUP(G829,Table!$G$3:$H$21,2,FALSE)</f>
        <v>#N/A</v>
      </c>
      <c r="E829" s="452" t="s">
        <v>902</v>
      </c>
      <c r="F829" s="452" t="s">
        <v>1312</v>
      </c>
      <c r="G829" s="452" t="s">
        <v>1317</v>
      </c>
      <c r="H829" s="452" t="s">
        <v>1318</v>
      </c>
      <c r="I829" s="453" t="s">
        <v>844</v>
      </c>
      <c r="J829" s="453">
        <v>505</v>
      </c>
      <c r="K829" s="461">
        <v>0</v>
      </c>
      <c r="L829" s="461">
        <v>505</v>
      </c>
      <c r="M829" s="461">
        <v>0</v>
      </c>
      <c r="N829" s="461">
        <v>0</v>
      </c>
      <c r="O829" s="461">
        <v>0</v>
      </c>
      <c r="P829" s="461">
        <v>0</v>
      </c>
      <c r="Q829" s="461">
        <v>0</v>
      </c>
      <c r="R829" s="461">
        <v>0</v>
      </c>
      <c r="S829" s="461">
        <v>0</v>
      </c>
      <c r="T829" s="461">
        <v>0</v>
      </c>
      <c r="U829" s="461">
        <v>0</v>
      </c>
      <c r="V829" s="461">
        <v>0</v>
      </c>
    </row>
    <row r="830" spans="1:22" s="455" customFormat="1" hidden="1">
      <c r="A830" s="455" t="str">
        <f t="shared" si="24"/>
        <v>12109152701133</v>
      </c>
      <c r="B830" s="455">
        <f>VLOOKUP(LEFT($C$3:$C$2600,3),Table!$D$2:$E$88,2,FALSE)</f>
        <v>0</v>
      </c>
      <c r="C830" s="455" t="str">
        <f t="shared" si="25"/>
        <v>9152701133</v>
      </c>
      <c r="D830" s="455" t="e">
        <f>VLOOKUP(G830,Table!$G$3:$H$21,2,FALSE)</f>
        <v>#N/A</v>
      </c>
      <c r="E830" s="452" t="s">
        <v>902</v>
      </c>
      <c r="F830" s="452" t="s">
        <v>1312</v>
      </c>
      <c r="G830" s="452" t="s">
        <v>1321</v>
      </c>
      <c r="H830" s="452" t="s">
        <v>1322</v>
      </c>
      <c r="I830" s="453" t="s">
        <v>844</v>
      </c>
      <c r="J830" s="453">
        <v>-382.71</v>
      </c>
      <c r="K830" s="461">
        <v>-382.71</v>
      </c>
      <c r="L830" s="461">
        <v>0</v>
      </c>
      <c r="M830" s="461">
        <v>0</v>
      </c>
      <c r="N830" s="461">
        <v>0</v>
      </c>
      <c r="O830" s="461">
        <v>0</v>
      </c>
      <c r="P830" s="461">
        <v>0</v>
      </c>
      <c r="Q830" s="461">
        <v>0</v>
      </c>
      <c r="R830" s="461">
        <v>0</v>
      </c>
      <c r="S830" s="461">
        <v>0</v>
      </c>
      <c r="T830" s="461">
        <v>0</v>
      </c>
      <c r="U830" s="461">
        <v>0</v>
      </c>
      <c r="V830" s="461">
        <v>0</v>
      </c>
    </row>
    <row r="831" spans="1:22" s="455" customFormat="1" hidden="1">
      <c r="A831" s="455" t="str">
        <f t="shared" si="24"/>
        <v>12109152801000</v>
      </c>
      <c r="B831" s="455">
        <f>VLOOKUP(LEFT($C$3:$C$2600,3),Table!$D$2:$E$88,2,FALSE)</f>
        <v>0</v>
      </c>
      <c r="C831" s="455" t="str">
        <f t="shared" si="25"/>
        <v>9152801000</v>
      </c>
      <c r="D831" s="455" t="e">
        <f>VLOOKUP(G831,Table!$G$3:$H$21,2,FALSE)</f>
        <v>#N/A</v>
      </c>
      <c r="E831" s="452" t="s">
        <v>902</v>
      </c>
      <c r="F831" s="452" t="s">
        <v>1312</v>
      </c>
      <c r="G831" s="452" t="s">
        <v>1041</v>
      </c>
      <c r="H831" s="452" t="s">
        <v>1042</v>
      </c>
      <c r="I831" s="453" t="s">
        <v>844</v>
      </c>
      <c r="J831" s="453">
        <v>0</v>
      </c>
      <c r="K831" s="461">
        <v>750</v>
      </c>
      <c r="L831" s="461">
        <v>0</v>
      </c>
      <c r="M831" s="461">
        <v>-750</v>
      </c>
      <c r="N831" s="461">
        <v>0</v>
      </c>
      <c r="O831" s="461">
        <v>0</v>
      </c>
      <c r="P831" s="461">
        <v>0</v>
      </c>
      <c r="Q831" s="461">
        <v>0</v>
      </c>
      <c r="R831" s="461">
        <v>0</v>
      </c>
      <c r="S831" s="461">
        <v>0</v>
      </c>
      <c r="T831" s="461">
        <v>0</v>
      </c>
      <c r="U831" s="461">
        <v>0</v>
      </c>
      <c r="V831" s="461">
        <v>0</v>
      </c>
    </row>
    <row r="832" spans="1:22" s="455" customFormat="1" hidden="1">
      <c r="A832" s="455" t="str">
        <f t="shared" si="24"/>
        <v>12109153001000</v>
      </c>
      <c r="B832" s="455">
        <f>VLOOKUP(LEFT($C$3:$C$2600,3),Table!$D$2:$E$88,2,FALSE)</f>
        <v>0</v>
      </c>
      <c r="C832" s="455" t="str">
        <f t="shared" si="25"/>
        <v>9153001000</v>
      </c>
      <c r="D832" s="455" t="e">
        <f>VLOOKUP(G832,Table!$G$3:$H$21,2,FALSE)</f>
        <v>#N/A</v>
      </c>
      <c r="E832" s="452" t="s">
        <v>902</v>
      </c>
      <c r="F832" s="452" t="s">
        <v>1312</v>
      </c>
      <c r="G832" s="452" t="s">
        <v>1043</v>
      </c>
      <c r="H832" s="452" t="s">
        <v>1044</v>
      </c>
      <c r="I832" s="453" t="s">
        <v>844</v>
      </c>
      <c r="J832" s="453">
        <v>8415</v>
      </c>
      <c r="K832" s="461">
        <v>2805</v>
      </c>
      <c r="L832" s="461">
        <v>2805</v>
      </c>
      <c r="M832" s="461">
        <v>2805</v>
      </c>
      <c r="N832" s="461">
        <v>0</v>
      </c>
      <c r="O832" s="461">
        <v>0</v>
      </c>
      <c r="P832" s="461">
        <v>0</v>
      </c>
      <c r="Q832" s="461">
        <v>0</v>
      </c>
      <c r="R832" s="461">
        <v>0</v>
      </c>
      <c r="S832" s="461">
        <v>0</v>
      </c>
      <c r="T832" s="461">
        <v>0</v>
      </c>
      <c r="U832" s="461">
        <v>0</v>
      </c>
      <c r="V832" s="461">
        <v>0</v>
      </c>
    </row>
    <row r="833" spans="1:22" s="455" customFormat="1" hidden="1">
      <c r="A833" s="455" t="str">
        <f t="shared" si="24"/>
        <v>12109153700000</v>
      </c>
      <c r="B833" s="455">
        <f>VLOOKUP(LEFT($C$3:$C$2600,3),Table!$D$2:$E$88,2,FALSE)</f>
        <v>0</v>
      </c>
      <c r="C833" s="455" t="str">
        <f t="shared" si="25"/>
        <v>9153700000</v>
      </c>
      <c r="D833" s="455" t="e">
        <f>VLOOKUP(G833,Table!$G$3:$H$21,2,FALSE)</f>
        <v>#N/A</v>
      </c>
      <c r="E833" s="452" t="s">
        <v>902</v>
      </c>
      <c r="F833" s="452" t="s">
        <v>1312</v>
      </c>
      <c r="G833" s="452" t="s">
        <v>1346</v>
      </c>
      <c r="H833" s="452" t="s">
        <v>1347</v>
      </c>
      <c r="I833" s="453" t="s">
        <v>844</v>
      </c>
      <c r="J833" s="453">
        <v>100</v>
      </c>
      <c r="K833" s="461">
        <v>100</v>
      </c>
      <c r="L833" s="461">
        <v>0</v>
      </c>
      <c r="M833" s="461">
        <v>0</v>
      </c>
      <c r="N833" s="461">
        <v>0</v>
      </c>
      <c r="O833" s="461">
        <v>0</v>
      </c>
      <c r="P833" s="461">
        <v>0</v>
      </c>
      <c r="Q833" s="461">
        <v>0</v>
      </c>
      <c r="R833" s="461">
        <v>0</v>
      </c>
      <c r="S833" s="461">
        <v>0</v>
      </c>
      <c r="T833" s="461">
        <v>0</v>
      </c>
      <c r="U833" s="461">
        <v>0</v>
      </c>
      <c r="V833" s="461">
        <v>0</v>
      </c>
    </row>
    <row r="834" spans="1:22" s="455" customFormat="1" hidden="1">
      <c r="A834" s="455" t="str">
        <f t="shared" si="24"/>
        <v>13109150801000</v>
      </c>
      <c r="B834" s="455">
        <f>VLOOKUP(LEFT($C$3:$C$2600,3),Table!$D$2:$E$88,2,FALSE)</f>
        <v>0</v>
      </c>
      <c r="C834" s="455" t="str">
        <f t="shared" si="25"/>
        <v>9150801000</v>
      </c>
      <c r="D834" s="455" t="e">
        <f>VLOOKUP(G834,Table!$G$3:$H$21,2,FALSE)</f>
        <v>#N/A</v>
      </c>
      <c r="E834" s="452" t="s">
        <v>902</v>
      </c>
      <c r="F834" s="452" t="s">
        <v>1325</v>
      </c>
      <c r="G834" s="452" t="s">
        <v>993</v>
      </c>
      <c r="H834" s="452" t="s">
        <v>994</v>
      </c>
      <c r="I834" s="453" t="s">
        <v>844</v>
      </c>
      <c r="J834" s="453">
        <v>353482.69</v>
      </c>
      <c r="K834" s="461">
        <v>118256.54</v>
      </c>
      <c r="L834" s="461">
        <v>118102.69</v>
      </c>
      <c r="M834" s="461">
        <v>117123.46</v>
      </c>
      <c r="N834" s="461">
        <v>0</v>
      </c>
      <c r="O834" s="461">
        <v>0</v>
      </c>
      <c r="P834" s="461">
        <v>0</v>
      </c>
      <c r="Q834" s="461">
        <v>0</v>
      </c>
      <c r="R834" s="461">
        <v>0</v>
      </c>
      <c r="S834" s="461">
        <v>0</v>
      </c>
      <c r="T834" s="461">
        <v>0</v>
      </c>
      <c r="U834" s="461">
        <v>0</v>
      </c>
      <c r="V834" s="461">
        <v>0</v>
      </c>
    </row>
    <row r="835" spans="1:22" s="455" customFormat="1" hidden="1">
      <c r="A835" s="455" t="str">
        <f t="shared" si="24"/>
        <v>13109150801200</v>
      </c>
      <c r="B835" s="455">
        <f>VLOOKUP(LEFT($C$3:$C$2600,3),Table!$D$2:$E$88,2,FALSE)</f>
        <v>0</v>
      </c>
      <c r="C835" s="455" t="str">
        <f t="shared" si="25"/>
        <v>9150801200</v>
      </c>
      <c r="D835" s="455" t="e">
        <f>VLOOKUP(G835,Table!$G$3:$H$21,2,FALSE)</f>
        <v>#N/A</v>
      </c>
      <c r="E835" s="452" t="s">
        <v>902</v>
      </c>
      <c r="F835" s="452" t="s">
        <v>1325</v>
      </c>
      <c r="G835" s="452" t="s">
        <v>995</v>
      </c>
      <c r="H835" s="452" t="s">
        <v>996</v>
      </c>
      <c r="I835" s="453" t="s">
        <v>844</v>
      </c>
      <c r="J835" s="453">
        <v>11702.4</v>
      </c>
      <c r="K835" s="461">
        <v>3900.8</v>
      </c>
      <c r="L835" s="461">
        <v>3900.8</v>
      </c>
      <c r="M835" s="461">
        <v>3900.8</v>
      </c>
      <c r="N835" s="461">
        <v>0</v>
      </c>
      <c r="O835" s="461">
        <v>0</v>
      </c>
      <c r="P835" s="461">
        <v>0</v>
      </c>
      <c r="Q835" s="461">
        <v>0</v>
      </c>
      <c r="R835" s="461">
        <v>0</v>
      </c>
      <c r="S835" s="461">
        <v>0</v>
      </c>
      <c r="T835" s="461">
        <v>0</v>
      </c>
      <c r="U835" s="461">
        <v>0</v>
      </c>
      <c r="V835" s="461">
        <v>0</v>
      </c>
    </row>
    <row r="836" spans="1:22" s="455" customFormat="1" hidden="1">
      <c r="A836" s="455" t="str">
        <f t="shared" ref="A836:A899" si="26">F836&amp;G836</f>
        <v>13109150801400</v>
      </c>
      <c r="B836" s="455">
        <f>VLOOKUP(LEFT($C$3:$C$2600,3),Table!$D$2:$E$88,2,FALSE)</f>
        <v>0</v>
      </c>
      <c r="C836" s="455" t="str">
        <f t="shared" ref="C836:C899" si="27">IF(ISNA(D836),G836,D836)</f>
        <v>9150801400</v>
      </c>
      <c r="D836" s="455" t="e">
        <f>VLOOKUP(G836,Table!$G$3:$H$21,2,FALSE)</f>
        <v>#N/A</v>
      </c>
      <c r="E836" s="452" t="s">
        <v>902</v>
      </c>
      <c r="F836" s="452" t="s">
        <v>1325</v>
      </c>
      <c r="G836" s="452" t="s">
        <v>997</v>
      </c>
      <c r="H836" s="452" t="s">
        <v>998</v>
      </c>
      <c r="I836" s="453" t="s">
        <v>844</v>
      </c>
      <c r="J836" s="453">
        <v>48742</v>
      </c>
      <c r="K836" s="461">
        <v>16318</v>
      </c>
      <c r="L836" s="461">
        <v>16299</v>
      </c>
      <c r="M836" s="461">
        <v>16125</v>
      </c>
      <c r="N836" s="461">
        <v>0</v>
      </c>
      <c r="O836" s="461">
        <v>0</v>
      </c>
      <c r="P836" s="461">
        <v>0</v>
      </c>
      <c r="Q836" s="461">
        <v>0</v>
      </c>
      <c r="R836" s="461">
        <v>0</v>
      </c>
      <c r="S836" s="461">
        <v>0</v>
      </c>
      <c r="T836" s="461">
        <v>0</v>
      </c>
      <c r="U836" s="461">
        <v>0</v>
      </c>
      <c r="V836" s="461">
        <v>0</v>
      </c>
    </row>
    <row r="837" spans="1:22" s="455" customFormat="1" hidden="1">
      <c r="A837" s="455" t="str">
        <f t="shared" si="26"/>
        <v>13109150801500</v>
      </c>
      <c r="B837" s="455">
        <f>VLOOKUP(LEFT($C$3:$C$2600,3),Table!$D$2:$E$88,2,FALSE)</f>
        <v>0</v>
      </c>
      <c r="C837" s="455" t="str">
        <f t="shared" si="27"/>
        <v>9150801500</v>
      </c>
      <c r="D837" s="455" t="e">
        <f>VLOOKUP(G837,Table!$G$3:$H$21,2,FALSE)</f>
        <v>#N/A</v>
      </c>
      <c r="E837" s="452" t="s">
        <v>902</v>
      </c>
      <c r="F837" s="452" t="s">
        <v>1325</v>
      </c>
      <c r="G837" s="452" t="s">
        <v>999</v>
      </c>
      <c r="H837" s="452" t="s">
        <v>1000</v>
      </c>
      <c r="I837" s="453" t="s">
        <v>844</v>
      </c>
      <c r="J837" s="453">
        <v>4671.05</v>
      </c>
      <c r="K837" s="461">
        <v>1557.55</v>
      </c>
      <c r="L837" s="461">
        <v>1554.15</v>
      </c>
      <c r="M837" s="461">
        <v>1559.35</v>
      </c>
      <c r="N837" s="461">
        <v>0</v>
      </c>
      <c r="O837" s="461">
        <v>0</v>
      </c>
      <c r="P837" s="461">
        <v>0</v>
      </c>
      <c r="Q837" s="461">
        <v>0</v>
      </c>
      <c r="R837" s="461">
        <v>0</v>
      </c>
      <c r="S837" s="461">
        <v>0</v>
      </c>
      <c r="T837" s="461">
        <v>0</v>
      </c>
      <c r="U837" s="461">
        <v>0</v>
      </c>
      <c r="V837" s="461">
        <v>0</v>
      </c>
    </row>
    <row r="838" spans="1:22" s="455" customFormat="1" hidden="1">
      <c r="A838" s="455" t="str">
        <f t="shared" si="26"/>
        <v>13109150801600</v>
      </c>
      <c r="B838" s="455">
        <f>VLOOKUP(LEFT($C$3:$C$2600,3),Table!$D$2:$E$88,2,FALSE)</f>
        <v>0</v>
      </c>
      <c r="C838" s="455" t="str">
        <f t="shared" si="27"/>
        <v>9150801600</v>
      </c>
      <c r="D838" s="455" t="e">
        <f>VLOOKUP(G838,Table!$G$3:$H$21,2,FALSE)</f>
        <v>#N/A</v>
      </c>
      <c r="E838" s="452" t="s">
        <v>902</v>
      </c>
      <c r="F838" s="452" t="s">
        <v>1325</v>
      </c>
      <c r="G838" s="452" t="s">
        <v>1001</v>
      </c>
      <c r="H838" s="452" t="s">
        <v>1002</v>
      </c>
      <c r="I838" s="453" t="s">
        <v>844</v>
      </c>
      <c r="J838" s="453">
        <v>114969</v>
      </c>
      <c r="K838" s="461">
        <v>38323</v>
      </c>
      <c r="L838" s="461">
        <v>38323</v>
      </c>
      <c r="M838" s="461">
        <v>38323</v>
      </c>
      <c r="N838" s="461">
        <v>0</v>
      </c>
      <c r="O838" s="461">
        <v>0</v>
      </c>
      <c r="P838" s="461">
        <v>0</v>
      </c>
      <c r="Q838" s="461">
        <v>0</v>
      </c>
      <c r="R838" s="461">
        <v>0</v>
      </c>
      <c r="S838" s="461">
        <v>0</v>
      </c>
      <c r="T838" s="461">
        <v>0</v>
      </c>
      <c r="U838" s="461">
        <v>0</v>
      </c>
      <c r="V838" s="461">
        <v>0</v>
      </c>
    </row>
    <row r="839" spans="1:22" s="455" customFormat="1" hidden="1">
      <c r="A839" s="455" t="str">
        <f t="shared" si="26"/>
        <v>13109150801800</v>
      </c>
      <c r="B839" s="455">
        <f>VLOOKUP(LEFT($C$3:$C$2600,3),Table!$D$2:$E$88,2,FALSE)</f>
        <v>0</v>
      </c>
      <c r="C839" s="455" t="str">
        <f t="shared" si="27"/>
        <v>9150801800</v>
      </c>
      <c r="D839" s="455" t="e">
        <f>VLOOKUP(G839,Table!$G$3:$H$21,2,FALSE)</f>
        <v>#N/A</v>
      </c>
      <c r="E839" s="452" t="s">
        <v>902</v>
      </c>
      <c r="F839" s="452" t="s">
        <v>1325</v>
      </c>
      <c r="G839" s="452" t="s">
        <v>1004</v>
      </c>
      <c r="H839" s="452" t="s">
        <v>1005</v>
      </c>
      <c r="I839" s="453" t="s">
        <v>844</v>
      </c>
      <c r="J839" s="453">
        <v>39235</v>
      </c>
      <c r="K839" s="461">
        <v>15227.5</v>
      </c>
      <c r="L839" s="461">
        <v>12450</v>
      </c>
      <c r="M839" s="461">
        <v>11557.5</v>
      </c>
      <c r="N839" s="461">
        <v>0</v>
      </c>
      <c r="O839" s="461">
        <v>0</v>
      </c>
      <c r="P839" s="461">
        <v>0</v>
      </c>
      <c r="Q839" s="461">
        <v>0</v>
      </c>
      <c r="R839" s="461">
        <v>0</v>
      </c>
      <c r="S839" s="461">
        <v>0</v>
      </c>
      <c r="T839" s="461">
        <v>0</v>
      </c>
      <c r="U839" s="461">
        <v>0</v>
      </c>
      <c r="V839" s="461">
        <v>0</v>
      </c>
    </row>
    <row r="840" spans="1:22" s="455" customFormat="1" hidden="1">
      <c r="A840" s="455" t="str">
        <f t="shared" si="26"/>
        <v>13109150801900</v>
      </c>
      <c r="B840" s="455">
        <f>VLOOKUP(LEFT($C$3:$C$2600,3),Table!$D$2:$E$88,2,FALSE)</f>
        <v>0</v>
      </c>
      <c r="C840" s="455" t="str">
        <f t="shared" si="27"/>
        <v>9150801900</v>
      </c>
      <c r="D840" s="455" t="e">
        <f>VLOOKUP(G840,Table!$G$3:$H$21,2,FALSE)</f>
        <v>#N/A</v>
      </c>
      <c r="E840" s="452" t="s">
        <v>902</v>
      </c>
      <c r="F840" s="452" t="s">
        <v>1325</v>
      </c>
      <c r="G840" s="452" t="s">
        <v>1006</v>
      </c>
      <c r="H840" s="452" t="s">
        <v>1007</v>
      </c>
      <c r="I840" s="453" t="s">
        <v>844</v>
      </c>
      <c r="J840" s="453">
        <v>3503.85</v>
      </c>
      <c r="K840" s="461">
        <v>1167.95</v>
      </c>
      <c r="L840" s="461">
        <v>1167.95</v>
      </c>
      <c r="M840" s="461">
        <v>1167.95</v>
      </c>
      <c r="N840" s="461">
        <v>0</v>
      </c>
      <c r="O840" s="461">
        <v>0</v>
      </c>
      <c r="P840" s="461">
        <v>0</v>
      </c>
      <c r="Q840" s="461">
        <v>0</v>
      </c>
      <c r="R840" s="461">
        <v>0</v>
      </c>
      <c r="S840" s="461">
        <v>0</v>
      </c>
      <c r="T840" s="461">
        <v>0</v>
      </c>
      <c r="U840" s="461">
        <v>0</v>
      </c>
      <c r="V840" s="461">
        <v>0</v>
      </c>
    </row>
    <row r="841" spans="1:22" s="455" customFormat="1" hidden="1">
      <c r="A841" s="455" t="str">
        <f t="shared" si="26"/>
        <v>13109150900000</v>
      </c>
      <c r="B841" s="455">
        <f>VLOOKUP(LEFT($C$3:$C$2600,3),Table!$D$2:$E$88,2,FALSE)</f>
        <v>0</v>
      </c>
      <c r="C841" s="455" t="str">
        <f t="shared" si="27"/>
        <v>9150900000</v>
      </c>
      <c r="D841" s="455" t="e">
        <f>VLOOKUP(G841,Table!$G$3:$H$21,2,FALSE)</f>
        <v>#N/A</v>
      </c>
      <c r="E841" s="452" t="s">
        <v>902</v>
      </c>
      <c r="F841" s="452" t="s">
        <v>1325</v>
      </c>
      <c r="G841" s="452" t="s">
        <v>1008</v>
      </c>
      <c r="H841" s="452" t="s">
        <v>966</v>
      </c>
      <c r="I841" s="453" t="s">
        <v>844</v>
      </c>
      <c r="J841" s="453">
        <v>9730</v>
      </c>
      <c r="K841" s="461">
        <v>6390</v>
      </c>
      <c r="L841" s="461">
        <v>1500</v>
      </c>
      <c r="M841" s="461">
        <v>1825</v>
      </c>
      <c r="N841" s="461">
        <v>0</v>
      </c>
      <c r="O841" s="461">
        <v>0</v>
      </c>
      <c r="P841" s="461">
        <v>0</v>
      </c>
      <c r="Q841" s="461">
        <v>0</v>
      </c>
      <c r="R841" s="461">
        <v>0</v>
      </c>
      <c r="S841" s="461">
        <v>0</v>
      </c>
      <c r="T841" s="461">
        <v>0</v>
      </c>
      <c r="U841" s="461">
        <v>0</v>
      </c>
      <c r="V841" s="461">
        <v>0</v>
      </c>
    </row>
    <row r="842" spans="1:22" s="455" customFormat="1" hidden="1">
      <c r="A842" s="455" t="str">
        <f t="shared" si="26"/>
        <v>13109151001000</v>
      </c>
      <c r="B842" s="455">
        <f>VLOOKUP(LEFT($C$3:$C$2600,3),Table!$D$2:$E$88,2,FALSE)</f>
        <v>0</v>
      </c>
      <c r="C842" s="455" t="str">
        <f t="shared" si="27"/>
        <v>9151001000</v>
      </c>
      <c r="D842" s="455" t="e">
        <f>VLOOKUP(G842,Table!$G$3:$H$21,2,FALSE)</f>
        <v>#N/A</v>
      </c>
      <c r="E842" s="452" t="s">
        <v>902</v>
      </c>
      <c r="F842" s="452" t="s">
        <v>1325</v>
      </c>
      <c r="G842" s="452" t="s">
        <v>1129</v>
      </c>
      <c r="H842" s="452" t="s">
        <v>994</v>
      </c>
      <c r="I842" s="453" t="s">
        <v>844</v>
      </c>
      <c r="J842" s="453">
        <v>26526.9</v>
      </c>
      <c r="K842" s="461">
        <v>8842.2999999999993</v>
      </c>
      <c r="L842" s="461">
        <v>8842.2999999999993</v>
      </c>
      <c r="M842" s="461">
        <v>8842.2999999999993</v>
      </c>
      <c r="N842" s="461">
        <v>0</v>
      </c>
      <c r="O842" s="461">
        <v>0</v>
      </c>
      <c r="P842" s="461">
        <v>0</v>
      </c>
      <c r="Q842" s="461">
        <v>0</v>
      </c>
      <c r="R842" s="461">
        <v>0</v>
      </c>
      <c r="S842" s="461">
        <v>0</v>
      </c>
      <c r="T842" s="461">
        <v>0</v>
      </c>
      <c r="U842" s="461">
        <v>0</v>
      </c>
      <c r="V842" s="461">
        <v>0</v>
      </c>
    </row>
    <row r="843" spans="1:22" s="455" customFormat="1" hidden="1">
      <c r="A843" s="455" t="str">
        <f t="shared" si="26"/>
        <v>13109151001100</v>
      </c>
      <c r="B843" s="455">
        <f>VLOOKUP(LEFT($C$3:$C$2600,3),Table!$D$2:$E$88,2,FALSE)</f>
        <v>0</v>
      </c>
      <c r="C843" s="455" t="str">
        <f t="shared" si="27"/>
        <v>9151001100</v>
      </c>
      <c r="D843" s="455" t="e">
        <f>VLOOKUP(G843,Table!$G$3:$H$21,2,FALSE)</f>
        <v>#N/A</v>
      </c>
      <c r="E843" s="452" t="s">
        <v>902</v>
      </c>
      <c r="F843" s="452" t="s">
        <v>1325</v>
      </c>
      <c r="G843" s="452" t="s">
        <v>1130</v>
      </c>
      <c r="H843" s="452" t="s">
        <v>1131</v>
      </c>
      <c r="I843" s="453" t="s">
        <v>844</v>
      </c>
      <c r="J843" s="453">
        <v>17222.27</v>
      </c>
      <c r="K843" s="461">
        <v>6023.98</v>
      </c>
      <c r="L843" s="461">
        <v>6076.01</v>
      </c>
      <c r="M843" s="461">
        <v>6089.49</v>
      </c>
      <c r="N843" s="461">
        <v>0</v>
      </c>
      <c r="O843" s="461">
        <v>0</v>
      </c>
      <c r="P843" s="461">
        <v>0</v>
      </c>
      <c r="Q843" s="461">
        <v>0</v>
      </c>
      <c r="R843" s="461">
        <v>0</v>
      </c>
      <c r="S843" s="461">
        <v>0</v>
      </c>
      <c r="T843" s="461">
        <v>0</v>
      </c>
      <c r="U843" s="461">
        <v>0</v>
      </c>
      <c r="V843" s="461">
        <v>0</v>
      </c>
    </row>
    <row r="844" spans="1:22" s="455" customFormat="1" hidden="1">
      <c r="A844" s="455" t="str">
        <f t="shared" si="26"/>
        <v>13109151001200</v>
      </c>
      <c r="B844" s="455">
        <f>VLOOKUP(LEFT($C$3:$C$2600,3),Table!$D$2:$E$88,2,FALSE)</f>
        <v>0</v>
      </c>
      <c r="C844" s="455" t="str">
        <f t="shared" si="27"/>
        <v>9151001200</v>
      </c>
      <c r="D844" s="455" t="e">
        <f>VLOOKUP(G844,Table!$G$3:$H$21,2,FALSE)</f>
        <v>#N/A</v>
      </c>
      <c r="E844" s="452" t="s">
        <v>902</v>
      </c>
      <c r="F844" s="452" t="s">
        <v>1325</v>
      </c>
      <c r="G844" s="452" t="s">
        <v>1132</v>
      </c>
      <c r="H844" s="452" t="s">
        <v>996</v>
      </c>
      <c r="I844" s="453" t="s">
        <v>844</v>
      </c>
      <c r="J844" s="453">
        <v>2184.08</v>
      </c>
      <c r="K844" s="461">
        <v>749.18</v>
      </c>
      <c r="L844" s="461">
        <v>722.77</v>
      </c>
      <c r="M844" s="461">
        <v>712.13</v>
      </c>
      <c r="N844" s="461">
        <v>0</v>
      </c>
      <c r="O844" s="461">
        <v>0</v>
      </c>
      <c r="P844" s="461">
        <v>0</v>
      </c>
      <c r="Q844" s="461">
        <v>0</v>
      </c>
      <c r="R844" s="461">
        <v>0</v>
      </c>
      <c r="S844" s="461">
        <v>0</v>
      </c>
      <c r="T844" s="461">
        <v>0</v>
      </c>
      <c r="U844" s="461">
        <v>0</v>
      </c>
      <c r="V844" s="461">
        <v>0</v>
      </c>
    </row>
    <row r="845" spans="1:22" s="455" customFormat="1" hidden="1">
      <c r="A845" s="455" t="str">
        <f t="shared" si="26"/>
        <v>13109151001400</v>
      </c>
      <c r="B845" s="455">
        <f>VLOOKUP(LEFT($C$3:$C$2600,3),Table!$D$2:$E$88,2,FALSE)</f>
        <v>0</v>
      </c>
      <c r="C845" s="455" t="str">
        <f t="shared" si="27"/>
        <v>9151001400</v>
      </c>
      <c r="D845" s="455" t="e">
        <f>VLOOKUP(G845,Table!$G$3:$H$21,2,FALSE)</f>
        <v>#N/A</v>
      </c>
      <c r="E845" s="452" t="s">
        <v>902</v>
      </c>
      <c r="F845" s="452" t="s">
        <v>1325</v>
      </c>
      <c r="G845" s="452" t="s">
        <v>1133</v>
      </c>
      <c r="H845" s="452" t="s">
        <v>998</v>
      </c>
      <c r="I845" s="453" t="s">
        <v>844</v>
      </c>
      <c r="J845" s="453">
        <v>4347</v>
      </c>
      <c r="K845" s="461">
        <v>1449</v>
      </c>
      <c r="L845" s="461">
        <v>1446</v>
      </c>
      <c r="M845" s="461">
        <v>1452</v>
      </c>
      <c r="N845" s="461">
        <v>0</v>
      </c>
      <c r="O845" s="461">
        <v>0</v>
      </c>
      <c r="P845" s="461">
        <v>0</v>
      </c>
      <c r="Q845" s="461">
        <v>0</v>
      </c>
      <c r="R845" s="461">
        <v>0</v>
      </c>
      <c r="S845" s="461">
        <v>0</v>
      </c>
      <c r="T845" s="461">
        <v>0</v>
      </c>
      <c r="U845" s="461">
        <v>0</v>
      </c>
      <c r="V845" s="461">
        <v>0</v>
      </c>
    </row>
    <row r="846" spans="1:22" s="455" customFormat="1" hidden="1">
      <c r="A846" s="455" t="str">
        <f t="shared" si="26"/>
        <v>13109151001410</v>
      </c>
      <c r="B846" s="455">
        <f>VLOOKUP(LEFT($C$3:$C$2600,3),Table!$D$2:$E$88,2,FALSE)</f>
        <v>0</v>
      </c>
      <c r="C846" s="455" t="str">
        <f t="shared" si="27"/>
        <v>9151001410</v>
      </c>
      <c r="D846" s="455" t="e">
        <f>VLOOKUP(G846,Table!$G$3:$H$21,2,FALSE)</f>
        <v>#N/A</v>
      </c>
      <c r="E846" s="452" t="s">
        <v>902</v>
      </c>
      <c r="F846" s="452" t="s">
        <v>1325</v>
      </c>
      <c r="G846" s="452" t="s">
        <v>1134</v>
      </c>
      <c r="H846" s="452" t="s">
        <v>1078</v>
      </c>
      <c r="I846" s="453" t="s">
        <v>844</v>
      </c>
      <c r="J846" s="453">
        <v>180</v>
      </c>
      <c r="K846" s="461">
        <v>60</v>
      </c>
      <c r="L846" s="461">
        <v>60</v>
      </c>
      <c r="M846" s="461">
        <v>60</v>
      </c>
      <c r="N846" s="461">
        <v>0</v>
      </c>
      <c r="O846" s="461">
        <v>0</v>
      </c>
      <c r="P846" s="461">
        <v>0</v>
      </c>
      <c r="Q846" s="461">
        <v>0</v>
      </c>
      <c r="R846" s="461">
        <v>0</v>
      </c>
      <c r="S846" s="461">
        <v>0</v>
      </c>
      <c r="T846" s="461">
        <v>0</v>
      </c>
      <c r="U846" s="461">
        <v>0</v>
      </c>
      <c r="V846" s="461">
        <v>0</v>
      </c>
    </row>
    <row r="847" spans="1:22" s="455" customFormat="1" hidden="1">
      <c r="A847" s="455" t="str">
        <f t="shared" si="26"/>
        <v>13109151001500</v>
      </c>
      <c r="B847" s="455">
        <f>VLOOKUP(LEFT($C$3:$C$2600,3),Table!$D$2:$E$88,2,FALSE)</f>
        <v>0</v>
      </c>
      <c r="C847" s="455" t="str">
        <f t="shared" si="27"/>
        <v>9151001500</v>
      </c>
      <c r="D847" s="455" t="e">
        <f>VLOOKUP(G847,Table!$G$3:$H$21,2,FALSE)</f>
        <v>#N/A</v>
      </c>
      <c r="E847" s="452" t="s">
        <v>902</v>
      </c>
      <c r="F847" s="452" t="s">
        <v>1325</v>
      </c>
      <c r="G847" s="452" t="s">
        <v>1135</v>
      </c>
      <c r="H847" s="452" t="s">
        <v>1136</v>
      </c>
      <c r="I847" s="453" t="s">
        <v>844</v>
      </c>
      <c r="J847" s="453">
        <v>588.20000000000005</v>
      </c>
      <c r="K847" s="461">
        <v>192.6</v>
      </c>
      <c r="L847" s="461">
        <v>197.8</v>
      </c>
      <c r="M847" s="461">
        <v>197.8</v>
      </c>
      <c r="N847" s="461">
        <v>0</v>
      </c>
      <c r="O847" s="461">
        <v>0</v>
      </c>
      <c r="P847" s="461">
        <v>0</v>
      </c>
      <c r="Q847" s="461">
        <v>0</v>
      </c>
      <c r="R847" s="461">
        <v>0</v>
      </c>
      <c r="S847" s="461">
        <v>0</v>
      </c>
      <c r="T847" s="461">
        <v>0</v>
      </c>
      <c r="U847" s="461">
        <v>0</v>
      </c>
      <c r="V847" s="461">
        <v>0</v>
      </c>
    </row>
    <row r="848" spans="1:22" s="455" customFormat="1" hidden="1">
      <c r="A848" s="455" t="str">
        <f t="shared" si="26"/>
        <v>13109151001600</v>
      </c>
      <c r="B848" s="455">
        <f>VLOOKUP(LEFT($C$3:$C$2600,3),Table!$D$2:$E$88,2,FALSE)</f>
        <v>0</v>
      </c>
      <c r="C848" s="455" t="str">
        <f t="shared" si="27"/>
        <v>9151001600</v>
      </c>
      <c r="D848" s="455" t="e">
        <f>VLOOKUP(G848,Table!$G$3:$H$21,2,FALSE)</f>
        <v>#N/A</v>
      </c>
      <c r="E848" s="452" t="s">
        <v>902</v>
      </c>
      <c r="F848" s="452" t="s">
        <v>1325</v>
      </c>
      <c r="G848" s="452" t="s">
        <v>1137</v>
      </c>
      <c r="H848" s="452" t="s">
        <v>1002</v>
      </c>
      <c r="I848" s="453" t="s">
        <v>844</v>
      </c>
      <c r="J848" s="453">
        <v>6052.44</v>
      </c>
      <c r="K848" s="461">
        <v>2017.48</v>
      </c>
      <c r="L848" s="461">
        <v>2017.48</v>
      </c>
      <c r="M848" s="461">
        <v>2017.48</v>
      </c>
      <c r="N848" s="461">
        <v>0</v>
      </c>
      <c r="O848" s="461">
        <v>0</v>
      </c>
      <c r="P848" s="461">
        <v>0</v>
      </c>
      <c r="Q848" s="461">
        <v>0</v>
      </c>
      <c r="R848" s="461">
        <v>0</v>
      </c>
      <c r="S848" s="461">
        <v>0</v>
      </c>
      <c r="T848" s="461">
        <v>0</v>
      </c>
      <c r="U848" s="461">
        <v>0</v>
      </c>
      <c r="V848" s="461">
        <v>0</v>
      </c>
    </row>
    <row r="849" spans="1:22" s="455" customFormat="1" hidden="1">
      <c r="A849" s="455" t="str">
        <f t="shared" si="26"/>
        <v>13109151001700</v>
      </c>
      <c r="B849" s="455">
        <f>VLOOKUP(LEFT($C$3:$C$2600,3),Table!$D$2:$E$88,2,FALSE)</f>
        <v>0</v>
      </c>
      <c r="C849" s="455" t="str">
        <f t="shared" si="27"/>
        <v>9151001700</v>
      </c>
      <c r="D849" s="455" t="e">
        <f>VLOOKUP(G849,Table!$G$3:$H$21,2,FALSE)</f>
        <v>#N/A</v>
      </c>
      <c r="E849" s="452" t="s">
        <v>902</v>
      </c>
      <c r="F849" s="452" t="s">
        <v>1325</v>
      </c>
      <c r="G849" s="452" t="s">
        <v>1138</v>
      </c>
      <c r="H849" s="452" t="s">
        <v>1313</v>
      </c>
      <c r="I849" s="453" t="s">
        <v>844</v>
      </c>
      <c r="J849" s="453">
        <v>-10359.370000000001</v>
      </c>
      <c r="K849" s="461">
        <v>95</v>
      </c>
      <c r="L849" s="461">
        <v>455.54</v>
      </c>
      <c r="M849" s="461">
        <v>-606.79</v>
      </c>
      <c r="N849" s="461">
        <v>0</v>
      </c>
      <c r="O849" s="461">
        <v>0</v>
      </c>
      <c r="P849" s="461">
        <v>0</v>
      </c>
      <c r="Q849" s="461">
        <v>0</v>
      </c>
      <c r="R849" s="461">
        <v>0</v>
      </c>
      <c r="S849" s="461">
        <v>0</v>
      </c>
      <c r="T849" s="461">
        <v>0</v>
      </c>
      <c r="U849" s="461">
        <v>0</v>
      </c>
      <c r="V849" s="461">
        <v>0</v>
      </c>
    </row>
    <row r="850" spans="1:22" s="455" customFormat="1" hidden="1">
      <c r="A850" s="455" t="str">
        <f t="shared" si="26"/>
        <v>13109151001800</v>
      </c>
      <c r="B850" s="455">
        <f>VLOOKUP(LEFT($C$3:$C$2600,3),Table!$D$2:$E$88,2,FALSE)</f>
        <v>0</v>
      </c>
      <c r="C850" s="455" t="str">
        <f t="shared" si="27"/>
        <v>9151001800</v>
      </c>
      <c r="D850" s="455" t="e">
        <f>VLOOKUP(G850,Table!$G$3:$H$21,2,FALSE)</f>
        <v>#N/A</v>
      </c>
      <c r="E850" s="452" t="s">
        <v>902</v>
      </c>
      <c r="F850" s="452" t="s">
        <v>1325</v>
      </c>
      <c r="G850" s="452" t="s">
        <v>1139</v>
      </c>
      <c r="H850" s="452" t="s">
        <v>1005</v>
      </c>
      <c r="I850" s="453" t="s">
        <v>844</v>
      </c>
      <c r="J850" s="453">
        <v>1672.6</v>
      </c>
      <c r="K850" s="461">
        <v>556.70000000000005</v>
      </c>
      <c r="L850" s="461">
        <v>543.9</v>
      </c>
      <c r="M850" s="461">
        <v>572</v>
      </c>
      <c r="N850" s="461">
        <v>0</v>
      </c>
      <c r="O850" s="461">
        <v>0</v>
      </c>
      <c r="P850" s="461">
        <v>0</v>
      </c>
      <c r="Q850" s="461">
        <v>0</v>
      </c>
      <c r="R850" s="461">
        <v>0</v>
      </c>
      <c r="S850" s="461">
        <v>0</v>
      </c>
      <c r="T850" s="461">
        <v>0</v>
      </c>
      <c r="U850" s="461">
        <v>0</v>
      </c>
      <c r="V850" s="461">
        <v>0</v>
      </c>
    </row>
    <row r="851" spans="1:22" s="455" customFormat="1" hidden="1">
      <c r="A851" s="455" t="str">
        <f t="shared" si="26"/>
        <v>13109151001900</v>
      </c>
      <c r="B851" s="455">
        <f>VLOOKUP(LEFT($C$3:$C$2600,3),Table!$D$2:$E$88,2,FALSE)</f>
        <v>0</v>
      </c>
      <c r="C851" s="455" t="str">
        <f t="shared" si="27"/>
        <v>9151001900</v>
      </c>
      <c r="D851" s="455" t="e">
        <f>VLOOKUP(G851,Table!$G$3:$H$21,2,FALSE)</f>
        <v>#N/A</v>
      </c>
      <c r="E851" s="452" t="s">
        <v>902</v>
      </c>
      <c r="F851" s="452" t="s">
        <v>1325</v>
      </c>
      <c r="G851" s="452" t="s">
        <v>1140</v>
      </c>
      <c r="H851" s="452" t="s">
        <v>1007</v>
      </c>
      <c r="I851" s="453" t="s">
        <v>844</v>
      </c>
      <c r="J851" s="453">
        <v>287.94</v>
      </c>
      <c r="K851" s="461">
        <v>95.98</v>
      </c>
      <c r="L851" s="461">
        <v>95.98</v>
      </c>
      <c r="M851" s="461">
        <v>95.98</v>
      </c>
      <c r="N851" s="461">
        <v>0</v>
      </c>
      <c r="O851" s="461">
        <v>0</v>
      </c>
      <c r="P851" s="461">
        <v>0</v>
      </c>
      <c r="Q851" s="461">
        <v>0</v>
      </c>
      <c r="R851" s="461">
        <v>0</v>
      </c>
      <c r="S851" s="461">
        <v>0</v>
      </c>
      <c r="T851" s="461">
        <v>0</v>
      </c>
      <c r="U851" s="461">
        <v>0</v>
      </c>
      <c r="V851" s="461">
        <v>0</v>
      </c>
    </row>
    <row r="852" spans="1:22" s="455" customFormat="1" hidden="1">
      <c r="A852" s="455" t="str">
        <f t="shared" si="26"/>
        <v>13109151101000</v>
      </c>
      <c r="B852" s="455">
        <f>VLOOKUP(LEFT($C$3:$C$2600,3),Table!$D$2:$E$88,2,FALSE)</f>
        <v>0</v>
      </c>
      <c r="C852" s="455" t="str">
        <f t="shared" si="27"/>
        <v>9151101000</v>
      </c>
      <c r="D852" s="455" t="e">
        <f>VLOOKUP(G852,Table!$G$3:$H$21,2,FALSE)</f>
        <v>#N/A</v>
      </c>
      <c r="E852" s="452" t="s">
        <v>902</v>
      </c>
      <c r="F852" s="452" t="s">
        <v>1325</v>
      </c>
      <c r="G852" s="452" t="s">
        <v>1141</v>
      </c>
      <c r="H852" s="452" t="s">
        <v>1068</v>
      </c>
      <c r="I852" s="453" t="s">
        <v>844</v>
      </c>
      <c r="J852" s="453">
        <v>23989.14</v>
      </c>
      <c r="K852" s="461">
        <v>6105.79</v>
      </c>
      <c r="L852" s="461">
        <v>9436.0499999999993</v>
      </c>
      <c r="M852" s="461">
        <v>10064.68</v>
      </c>
      <c r="N852" s="461">
        <v>0</v>
      </c>
      <c r="O852" s="461">
        <v>0</v>
      </c>
      <c r="P852" s="461">
        <v>0</v>
      </c>
      <c r="Q852" s="461">
        <v>0</v>
      </c>
      <c r="R852" s="461">
        <v>0</v>
      </c>
      <c r="S852" s="461">
        <v>0</v>
      </c>
      <c r="T852" s="461">
        <v>0</v>
      </c>
      <c r="U852" s="461">
        <v>0</v>
      </c>
      <c r="V852" s="461">
        <v>0</v>
      </c>
    </row>
    <row r="853" spans="1:22" s="455" customFormat="1" hidden="1">
      <c r="A853" s="455" t="str">
        <f t="shared" si="26"/>
        <v>13109151101100</v>
      </c>
      <c r="B853" s="455">
        <f>VLOOKUP(LEFT($C$3:$C$2600,3),Table!$D$2:$E$88,2,FALSE)</f>
        <v>0</v>
      </c>
      <c r="C853" s="455" t="str">
        <f t="shared" si="27"/>
        <v>9151101100</v>
      </c>
      <c r="D853" s="455" t="e">
        <f>VLOOKUP(G853,Table!$G$3:$H$21,2,FALSE)</f>
        <v>#N/A</v>
      </c>
      <c r="E853" s="452" t="s">
        <v>902</v>
      </c>
      <c r="F853" s="452" t="s">
        <v>1325</v>
      </c>
      <c r="G853" s="452" t="s">
        <v>1142</v>
      </c>
      <c r="H853" s="452" t="s">
        <v>1070</v>
      </c>
      <c r="I853" s="453" t="s">
        <v>844</v>
      </c>
      <c r="J853" s="453">
        <v>8361.43</v>
      </c>
      <c r="K853" s="461">
        <v>2919.01</v>
      </c>
      <c r="L853" s="461">
        <v>2993.29</v>
      </c>
      <c r="M853" s="461">
        <v>3008.63</v>
      </c>
      <c r="N853" s="461">
        <v>0</v>
      </c>
      <c r="O853" s="461">
        <v>0</v>
      </c>
      <c r="P853" s="461">
        <v>0</v>
      </c>
      <c r="Q853" s="461">
        <v>0</v>
      </c>
      <c r="R853" s="461">
        <v>0</v>
      </c>
      <c r="S853" s="461">
        <v>0</v>
      </c>
      <c r="T853" s="461">
        <v>0</v>
      </c>
      <c r="U853" s="461">
        <v>0</v>
      </c>
      <c r="V853" s="461">
        <v>0</v>
      </c>
    </row>
    <row r="854" spans="1:22" s="455" customFormat="1" hidden="1">
      <c r="A854" s="455" t="str">
        <f t="shared" si="26"/>
        <v>13109151101200</v>
      </c>
      <c r="B854" s="455">
        <f>VLOOKUP(LEFT($C$3:$C$2600,3),Table!$D$2:$E$88,2,FALSE)</f>
        <v>0</v>
      </c>
      <c r="C854" s="455" t="str">
        <f t="shared" si="27"/>
        <v>9151101200</v>
      </c>
      <c r="D854" s="455" t="e">
        <f>VLOOKUP(G854,Table!$G$3:$H$21,2,FALSE)</f>
        <v>#N/A</v>
      </c>
      <c r="E854" s="452" t="s">
        <v>902</v>
      </c>
      <c r="F854" s="452" t="s">
        <v>1325</v>
      </c>
      <c r="G854" s="452" t="s">
        <v>1143</v>
      </c>
      <c r="H854" s="452" t="s">
        <v>1072</v>
      </c>
      <c r="I854" s="453" t="s">
        <v>844</v>
      </c>
      <c r="J854" s="453">
        <v>1849.79</v>
      </c>
      <c r="K854" s="461">
        <v>609.87</v>
      </c>
      <c r="L854" s="461">
        <v>621.83000000000004</v>
      </c>
      <c r="M854" s="461">
        <v>618.09</v>
      </c>
      <c r="N854" s="461">
        <v>0</v>
      </c>
      <c r="O854" s="461">
        <v>0</v>
      </c>
      <c r="P854" s="461">
        <v>0</v>
      </c>
      <c r="Q854" s="461">
        <v>0</v>
      </c>
      <c r="R854" s="461">
        <v>0</v>
      </c>
      <c r="S854" s="461">
        <v>0</v>
      </c>
      <c r="T854" s="461">
        <v>0</v>
      </c>
      <c r="U854" s="461">
        <v>0</v>
      </c>
      <c r="V854" s="461">
        <v>0</v>
      </c>
    </row>
    <row r="855" spans="1:22" s="455" customFormat="1" hidden="1">
      <c r="A855" s="455" t="str">
        <f t="shared" si="26"/>
        <v>13109151101400</v>
      </c>
      <c r="B855" s="455">
        <f>VLOOKUP(LEFT($C$3:$C$2600,3),Table!$D$2:$E$88,2,FALSE)</f>
        <v>0</v>
      </c>
      <c r="C855" s="455" t="str">
        <f t="shared" si="27"/>
        <v>9151101400</v>
      </c>
      <c r="D855" s="455" t="e">
        <f>VLOOKUP(G855,Table!$G$3:$H$21,2,FALSE)</f>
        <v>#N/A</v>
      </c>
      <c r="E855" s="452" t="s">
        <v>902</v>
      </c>
      <c r="F855" s="452" t="s">
        <v>1325</v>
      </c>
      <c r="G855" s="452" t="s">
        <v>1145</v>
      </c>
      <c r="H855" s="452" t="s">
        <v>1076</v>
      </c>
      <c r="I855" s="453" t="s">
        <v>844</v>
      </c>
      <c r="J855" s="453">
        <v>3908</v>
      </c>
      <c r="K855" s="461">
        <v>999</v>
      </c>
      <c r="L855" s="461">
        <v>1343</v>
      </c>
      <c r="M855" s="461">
        <v>1566</v>
      </c>
      <c r="N855" s="461">
        <v>0</v>
      </c>
      <c r="O855" s="461">
        <v>0</v>
      </c>
      <c r="P855" s="461">
        <v>0</v>
      </c>
      <c r="Q855" s="461">
        <v>0</v>
      </c>
      <c r="R855" s="461">
        <v>0</v>
      </c>
      <c r="S855" s="461">
        <v>0</v>
      </c>
      <c r="T855" s="461">
        <v>0</v>
      </c>
      <c r="U855" s="461">
        <v>0</v>
      </c>
      <c r="V855" s="461">
        <v>0</v>
      </c>
    </row>
    <row r="856" spans="1:22" s="455" customFormat="1" hidden="1">
      <c r="A856" s="455" t="str">
        <f t="shared" si="26"/>
        <v>13109151101410</v>
      </c>
      <c r="B856" s="455">
        <f>VLOOKUP(LEFT($C$3:$C$2600,3),Table!$D$2:$E$88,2,FALSE)</f>
        <v>0</v>
      </c>
      <c r="C856" s="455" t="str">
        <f t="shared" si="27"/>
        <v>9151101410</v>
      </c>
      <c r="D856" s="455" t="e">
        <f>VLOOKUP(G856,Table!$G$3:$H$21,2,FALSE)</f>
        <v>#N/A</v>
      </c>
      <c r="E856" s="452" t="s">
        <v>902</v>
      </c>
      <c r="F856" s="452" t="s">
        <v>1325</v>
      </c>
      <c r="G856" s="452" t="s">
        <v>1146</v>
      </c>
      <c r="H856" s="452" t="s">
        <v>1078</v>
      </c>
      <c r="I856" s="453" t="s">
        <v>844</v>
      </c>
      <c r="J856" s="453">
        <v>135</v>
      </c>
      <c r="K856" s="461">
        <v>45</v>
      </c>
      <c r="L856" s="461">
        <v>45</v>
      </c>
      <c r="M856" s="461">
        <v>45</v>
      </c>
      <c r="N856" s="461">
        <v>0</v>
      </c>
      <c r="O856" s="461">
        <v>0</v>
      </c>
      <c r="P856" s="461">
        <v>0</v>
      </c>
      <c r="Q856" s="461">
        <v>0</v>
      </c>
      <c r="R856" s="461">
        <v>0</v>
      </c>
      <c r="S856" s="461">
        <v>0</v>
      </c>
      <c r="T856" s="461">
        <v>0</v>
      </c>
      <c r="U856" s="461">
        <v>0</v>
      </c>
      <c r="V856" s="461">
        <v>0</v>
      </c>
    </row>
    <row r="857" spans="1:22" s="455" customFormat="1" hidden="1">
      <c r="A857" s="455" t="str">
        <f t="shared" si="26"/>
        <v>13109151101500</v>
      </c>
      <c r="B857" s="455">
        <f>VLOOKUP(LEFT($C$3:$C$2600,3),Table!$D$2:$E$88,2,FALSE)</f>
        <v>0</v>
      </c>
      <c r="C857" s="455" t="str">
        <f t="shared" si="27"/>
        <v>9151101500</v>
      </c>
      <c r="D857" s="455" t="e">
        <f>VLOOKUP(G857,Table!$G$3:$H$21,2,FALSE)</f>
        <v>#N/A</v>
      </c>
      <c r="E857" s="452" t="s">
        <v>902</v>
      </c>
      <c r="F857" s="452" t="s">
        <v>1325</v>
      </c>
      <c r="G857" s="452" t="s">
        <v>1147</v>
      </c>
      <c r="H857" s="452" t="s">
        <v>1080</v>
      </c>
      <c r="I857" s="453" t="s">
        <v>844</v>
      </c>
      <c r="J857" s="453">
        <v>568.9</v>
      </c>
      <c r="K857" s="461">
        <v>143.6</v>
      </c>
      <c r="L857" s="461">
        <v>193.45</v>
      </c>
      <c r="M857" s="461">
        <v>231.85</v>
      </c>
      <c r="N857" s="461">
        <v>0</v>
      </c>
      <c r="O857" s="461">
        <v>0</v>
      </c>
      <c r="P857" s="461">
        <v>0</v>
      </c>
      <c r="Q857" s="461">
        <v>0</v>
      </c>
      <c r="R857" s="461">
        <v>0</v>
      </c>
      <c r="S857" s="461">
        <v>0</v>
      </c>
      <c r="T857" s="461">
        <v>0</v>
      </c>
      <c r="U857" s="461">
        <v>0</v>
      </c>
      <c r="V857" s="461">
        <v>0</v>
      </c>
    </row>
    <row r="858" spans="1:22" s="455" customFormat="1" hidden="1">
      <c r="A858" s="455" t="str">
        <f t="shared" si="26"/>
        <v>13109151101600</v>
      </c>
      <c r="B858" s="455">
        <f>VLOOKUP(LEFT($C$3:$C$2600,3),Table!$D$2:$E$88,2,FALSE)</f>
        <v>0</v>
      </c>
      <c r="C858" s="455" t="str">
        <f t="shared" si="27"/>
        <v>9151101600</v>
      </c>
      <c r="D858" s="455" t="e">
        <f>VLOOKUP(G858,Table!$G$3:$H$21,2,FALSE)</f>
        <v>#N/A</v>
      </c>
      <c r="E858" s="452" t="s">
        <v>902</v>
      </c>
      <c r="F858" s="452" t="s">
        <v>1325</v>
      </c>
      <c r="G858" s="452" t="s">
        <v>1148</v>
      </c>
      <c r="H858" s="452" t="s">
        <v>1082</v>
      </c>
      <c r="I858" s="453" t="s">
        <v>844</v>
      </c>
      <c r="J858" s="453">
        <v>6400.32</v>
      </c>
      <c r="K858" s="461">
        <v>1585.86</v>
      </c>
      <c r="L858" s="461">
        <v>2407.23</v>
      </c>
      <c r="M858" s="461">
        <v>2407.23</v>
      </c>
      <c r="N858" s="461">
        <v>0</v>
      </c>
      <c r="O858" s="461">
        <v>0</v>
      </c>
      <c r="P858" s="461">
        <v>0</v>
      </c>
      <c r="Q858" s="461">
        <v>0</v>
      </c>
      <c r="R858" s="461">
        <v>0</v>
      </c>
      <c r="S858" s="461">
        <v>0</v>
      </c>
      <c r="T858" s="461">
        <v>0</v>
      </c>
      <c r="U858" s="461">
        <v>0</v>
      </c>
      <c r="V858" s="461">
        <v>0</v>
      </c>
    </row>
    <row r="859" spans="1:22" s="455" customFormat="1" hidden="1">
      <c r="A859" s="455" t="str">
        <f t="shared" si="26"/>
        <v>13109151101700</v>
      </c>
      <c r="B859" s="455">
        <f>VLOOKUP(LEFT($C$3:$C$2600,3),Table!$D$2:$E$88,2,FALSE)</f>
        <v>0</v>
      </c>
      <c r="C859" s="455" t="str">
        <f t="shared" si="27"/>
        <v>9151101700</v>
      </c>
      <c r="D859" s="455" t="e">
        <f>VLOOKUP(G859,Table!$G$3:$H$21,2,FALSE)</f>
        <v>#N/A</v>
      </c>
      <c r="E859" s="452" t="s">
        <v>902</v>
      </c>
      <c r="F859" s="452" t="s">
        <v>1325</v>
      </c>
      <c r="G859" s="452" t="s">
        <v>1149</v>
      </c>
      <c r="H859" s="452" t="s">
        <v>1084</v>
      </c>
      <c r="I859" s="453" t="s">
        <v>844</v>
      </c>
      <c r="J859" s="453">
        <v>-6832.02</v>
      </c>
      <c r="K859" s="461">
        <v>-706.54</v>
      </c>
      <c r="L859" s="461">
        <v>755.61</v>
      </c>
      <c r="M859" s="461">
        <v>379.17</v>
      </c>
      <c r="N859" s="461">
        <v>0</v>
      </c>
      <c r="O859" s="461">
        <v>0</v>
      </c>
      <c r="P859" s="461">
        <v>0</v>
      </c>
      <c r="Q859" s="461">
        <v>0</v>
      </c>
      <c r="R859" s="461">
        <v>0</v>
      </c>
      <c r="S859" s="461">
        <v>0</v>
      </c>
      <c r="T859" s="461">
        <v>0</v>
      </c>
      <c r="U859" s="461">
        <v>0</v>
      </c>
      <c r="V859" s="461">
        <v>0</v>
      </c>
    </row>
    <row r="860" spans="1:22" s="455" customFormat="1" hidden="1">
      <c r="A860" s="455" t="str">
        <f t="shared" si="26"/>
        <v>13109151101800</v>
      </c>
      <c r="B860" s="455">
        <f>VLOOKUP(LEFT($C$3:$C$2600,3),Table!$D$2:$E$88,2,FALSE)</f>
        <v>0</v>
      </c>
      <c r="C860" s="455" t="str">
        <f t="shared" si="27"/>
        <v>9151101800</v>
      </c>
      <c r="D860" s="455" t="e">
        <f>VLOOKUP(G860,Table!$G$3:$H$21,2,FALSE)</f>
        <v>#N/A</v>
      </c>
      <c r="E860" s="452" t="s">
        <v>902</v>
      </c>
      <c r="F860" s="452" t="s">
        <v>1325</v>
      </c>
      <c r="G860" s="452" t="s">
        <v>1150</v>
      </c>
      <c r="H860" s="452" t="s">
        <v>1086</v>
      </c>
      <c r="I860" s="453" t="s">
        <v>844</v>
      </c>
      <c r="J860" s="453">
        <v>1281.9000000000001</v>
      </c>
      <c r="K860" s="461">
        <v>353.6</v>
      </c>
      <c r="L860" s="461">
        <v>457.2</v>
      </c>
      <c r="M860" s="461">
        <v>471.1</v>
      </c>
      <c r="N860" s="461">
        <v>0</v>
      </c>
      <c r="O860" s="461">
        <v>0</v>
      </c>
      <c r="P860" s="461">
        <v>0</v>
      </c>
      <c r="Q860" s="461">
        <v>0</v>
      </c>
      <c r="R860" s="461">
        <v>0</v>
      </c>
      <c r="S860" s="461">
        <v>0</v>
      </c>
      <c r="T860" s="461">
        <v>0</v>
      </c>
      <c r="U860" s="461">
        <v>0</v>
      </c>
      <c r="V860" s="461">
        <v>0</v>
      </c>
    </row>
    <row r="861" spans="1:22" s="455" customFormat="1" hidden="1">
      <c r="A861" s="455" t="str">
        <f t="shared" si="26"/>
        <v>13109151101900</v>
      </c>
      <c r="B861" s="455">
        <f>VLOOKUP(LEFT($C$3:$C$2600,3),Table!$D$2:$E$88,2,FALSE)</f>
        <v>0</v>
      </c>
      <c r="C861" s="455" t="str">
        <f t="shared" si="27"/>
        <v>9151101900</v>
      </c>
      <c r="D861" s="455" t="e">
        <f>VLOOKUP(G861,Table!$G$3:$H$21,2,FALSE)</f>
        <v>#N/A</v>
      </c>
      <c r="E861" s="452" t="s">
        <v>902</v>
      </c>
      <c r="F861" s="452" t="s">
        <v>1325</v>
      </c>
      <c r="G861" s="452" t="s">
        <v>1151</v>
      </c>
      <c r="H861" s="452" t="s">
        <v>1088</v>
      </c>
      <c r="I861" s="453" t="s">
        <v>844</v>
      </c>
      <c r="J861" s="453">
        <v>272.05</v>
      </c>
      <c r="K861" s="461">
        <v>66.39</v>
      </c>
      <c r="L861" s="461">
        <v>93.81</v>
      </c>
      <c r="M861" s="461">
        <v>111.85</v>
      </c>
      <c r="N861" s="461">
        <v>0</v>
      </c>
      <c r="O861" s="461">
        <v>0</v>
      </c>
      <c r="P861" s="461">
        <v>0</v>
      </c>
      <c r="Q861" s="461">
        <v>0</v>
      </c>
      <c r="R861" s="461">
        <v>0</v>
      </c>
      <c r="S861" s="461">
        <v>0</v>
      </c>
      <c r="T861" s="461">
        <v>0</v>
      </c>
      <c r="U861" s="461">
        <v>0</v>
      </c>
      <c r="V861" s="461">
        <v>0</v>
      </c>
    </row>
    <row r="862" spans="1:22" s="455" customFormat="1" hidden="1">
      <c r="A862" s="455" t="str">
        <f t="shared" si="26"/>
        <v>13109151201000</v>
      </c>
      <c r="B862" s="455">
        <f>VLOOKUP(LEFT($C$3:$C$2600,3),Table!$D$2:$E$88,2,FALSE)</f>
        <v>0</v>
      </c>
      <c r="C862" s="455" t="str">
        <f t="shared" si="27"/>
        <v>9151201000</v>
      </c>
      <c r="D862" s="455" t="e">
        <f>VLOOKUP(G862,Table!$G$3:$H$21,2,FALSE)</f>
        <v>#N/A</v>
      </c>
      <c r="E862" s="452" t="s">
        <v>902</v>
      </c>
      <c r="F862" s="452" t="s">
        <v>1325</v>
      </c>
      <c r="G862" s="452" t="s">
        <v>1326</v>
      </c>
      <c r="H862" s="452" t="s">
        <v>1327</v>
      </c>
      <c r="I862" s="453" t="s">
        <v>844</v>
      </c>
      <c r="J862" s="453">
        <v>11073</v>
      </c>
      <c r="K862" s="461">
        <v>3523</v>
      </c>
      <c r="L862" s="461">
        <v>3696</v>
      </c>
      <c r="M862" s="461">
        <v>3854</v>
      </c>
      <c r="N862" s="461">
        <v>0</v>
      </c>
      <c r="O862" s="461">
        <v>0</v>
      </c>
      <c r="P862" s="461">
        <v>0</v>
      </c>
      <c r="Q862" s="461">
        <v>0</v>
      </c>
      <c r="R862" s="461">
        <v>0</v>
      </c>
      <c r="S862" s="461">
        <v>0</v>
      </c>
      <c r="T862" s="461">
        <v>0</v>
      </c>
      <c r="U862" s="461">
        <v>0</v>
      </c>
      <c r="V862" s="461">
        <v>0</v>
      </c>
    </row>
    <row r="863" spans="1:22" s="455" customFormat="1" hidden="1">
      <c r="A863" s="455" t="str">
        <f t="shared" si="26"/>
        <v>13109151301500</v>
      </c>
      <c r="B863" s="455">
        <f>VLOOKUP(LEFT($C$3:$C$2600,3),Table!$D$2:$E$88,2,FALSE)</f>
        <v>0</v>
      </c>
      <c r="C863" s="455" t="str">
        <f t="shared" si="27"/>
        <v>9151301500</v>
      </c>
      <c r="D863" s="455" t="e">
        <f>VLOOKUP(G863,Table!$G$3:$H$21,2,FALSE)</f>
        <v>#N/A</v>
      </c>
      <c r="E863" s="452" t="s">
        <v>902</v>
      </c>
      <c r="F863" s="452" t="s">
        <v>1325</v>
      </c>
      <c r="G863" s="452" t="s">
        <v>1152</v>
      </c>
      <c r="H863" s="452" t="s">
        <v>1153</v>
      </c>
      <c r="I863" s="453" t="s">
        <v>844</v>
      </c>
      <c r="J863" s="453">
        <v>398.5</v>
      </c>
      <c r="K863" s="461">
        <v>177.5</v>
      </c>
      <c r="L863" s="461">
        <v>221</v>
      </c>
      <c r="M863" s="461">
        <v>0</v>
      </c>
      <c r="N863" s="461">
        <v>0</v>
      </c>
      <c r="O863" s="461">
        <v>0</v>
      </c>
      <c r="P863" s="461">
        <v>0</v>
      </c>
      <c r="Q863" s="461">
        <v>0</v>
      </c>
      <c r="R863" s="461">
        <v>0</v>
      </c>
      <c r="S863" s="461">
        <v>0</v>
      </c>
      <c r="T863" s="461">
        <v>0</v>
      </c>
      <c r="U863" s="461">
        <v>0</v>
      </c>
      <c r="V863" s="461">
        <v>0</v>
      </c>
    </row>
    <row r="864" spans="1:22" s="455" customFormat="1" hidden="1">
      <c r="A864" s="455" t="str">
        <f t="shared" si="26"/>
        <v>13109151302500</v>
      </c>
      <c r="B864" s="455">
        <f>VLOOKUP(LEFT($C$3:$C$2600,3),Table!$D$2:$E$88,2,FALSE)</f>
        <v>0</v>
      </c>
      <c r="C864" s="455" t="str">
        <f t="shared" si="27"/>
        <v>9151302500</v>
      </c>
      <c r="D864" s="455" t="e">
        <f>VLOOKUP(G864,Table!$G$3:$H$21,2,FALSE)</f>
        <v>#N/A</v>
      </c>
      <c r="E864" s="452" t="s">
        <v>902</v>
      </c>
      <c r="F864" s="452" t="s">
        <v>1325</v>
      </c>
      <c r="G864" s="452" t="s">
        <v>1154</v>
      </c>
      <c r="H864" s="452" t="s">
        <v>1155</v>
      </c>
      <c r="I864" s="453" t="s">
        <v>844</v>
      </c>
      <c r="J864" s="453">
        <v>-22284.51</v>
      </c>
      <c r="K864" s="461">
        <v>-38695.69</v>
      </c>
      <c r="L864" s="461">
        <v>760.46</v>
      </c>
      <c r="M864" s="461">
        <v>17643.72</v>
      </c>
      <c r="N864" s="461">
        <v>0</v>
      </c>
      <c r="O864" s="461">
        <v>0</v>
      </c>
      <c r="P864" s="461">
        <v>0</v>
      </c>
      <c r="Q864" s="461">
        <v>0</v>
      </c>
      <c r="R864" s="461">
        <v>0</v>
      </c>
      <c r="S864" s="461">
        <v>0</v>
      </c>
      <c r="T864" s="461">
        <v>0</v>
      </c>
      <c r="U864" s="461">
        <v>0</v>
      </c>
      <c r="V864" s="461">
        <v>0</v>
      </c>
    </row>
    <row r="865" spans="1:22" s="455" customFormat="1" hidden="1">
      <c r="A865" s="455" t="str">
        <f t="shared" si="26"/>
        <v>13109151501100</v>
      </c>
      <c r="B865" s="455">
        <f>VLOOKUP(LEFT($C$3:$C$2600,3),Table!$D$2:$E$88,2,FALSE)</f>
        <v>0</v>
      </c>
      <c r="C865" s="455" t="str">
        <f t="shared" si="27"/>
        <v>9151501100</v>
      </c>
      <c r="D865" s="455" t="e">
        <f>VLOOKUP(G865,Table!$G$3:$H$21,2,FALSE)</f>
        <v>#N/A</v>
      </c>
      <c r="E865" s="452" t="s">
        <v>902</v>
      </c>
      <c r="F865" s="452" t="s">
        <v>1325</v>
      </c>
      <c r="G865" s="452" t="s">
        <v>1009</v>
      </c>
      <c r="H865" s="452" t="s">
        <v>1010</v>
      </c>
      <c r="I865" s="453" t="s">
        <v>844</v>
      </c>
      <c r="J865" s="453">
        <v>7427.4</v>
      </c>
      <c r="K865" s="461">
        <v>2418</v>
      </c>
      <c r="L865" s="461">
        <v>2511.6</v>
      </c>
      <c r="M865" s="461">
        <v>4147.8</v>
      </c>
      <c r="N865" s="461">
        <v>0</v>
      </c>
      <c r="O865" s="461">
        <v>0</v>
      </c>
      <c r="P865" s="461">
        <v>0</v>
      </c>
      <c r="Q865" s="461">
        <v>0</v>
      </c>
      <c r="R865" s="461">
        <v>0</v>
      </c>
      <c r="S865" s="461">
        <v>0</v>
      </c>
      <c r="T865" s="461">
        <v>0</v>
      </c>
      <c r="U865" s="461">
        <v>0</v>
      </c>
      <c r="V865" s="461">
        <v>0</v>
      </c>
    </row>
    <row r="866" spans="1:22" s="455" customFormat="1" hidden="1">
      <c r="A866" s="455" t="str">
        <f t="shared" si="26"/>
        <v>13109151501339</v>
      </c>
      <c r="B866" s="455">
        <f>VLOOKUP(LEFT($C$3:$C$2600,3),Table!$D$2:$E$88,2,FALSE)</f>
        <v>0</v>
      </c>
      <c r="C866" s="455" t="str">
        <f t="shared" si="27"/>
        <v>9151501339</v>
      </c>
      <c r="D866" s="455" t="e">
        <f>VLOOKUP(G866,Table!$G$3:$H$21,2,FALSE)</f>
        <v>#N/A</v>
      </c>
      <c r="E866" s="452" t="s">
        <v>902</v>
      </c>
      <c r="F866" s="452" t="s">
        <v>1325</v>
      </c>
      <c r="G866" s="452" t="s">
        <v>1328</v>
      </c>
      <c r="H866" s="452" t="s">
        <v>1329</v>
      </c>
      <c r="I866" s="453" t="s">
        <v>844</v>
      </c>
      <c r="J866" s="453">
        <v>564.02</v>
      </c>
      <c r="K866" s="461">
        <v>464.02</v>
      </c>
      <c r="L866" s="461">
        <v>651.04</v>
      </c>
      <c r="M866" s="461">
        <v>431.05</v>
      </c>
      <c r="N866" s="461">
        <v>0</v>
      </c>
      <c r="O866" s="461">
        <v>0</v>
      </c>
      <c r="P866" s="461">
        <v>0</v>
      </c>
      <c r="Q866" s="461">
        <v>0</v>
      </c>
      <c r="R866" s="461">
        <v>0</v>
      </c>
      <c r="S866" s="461">
        <v>0</v>
      </c>
      <c r="T866" s="461">
        <v>0</v>
      </c>
      <c r="U866" s="461">
        <v>0</v>
      </c>
      <c r="V866" s="461">
        <v>0</v>
      </c>
    </row>
    <row r="867" spans="1:22" s="455" customFormat="1" hidden="1">
      <c r="A867" s="455" t="str">
        <f t="shared" si="26"/>
        <v>13109151501400</v>
      </c>
      <c r="B867" s="455">
        <f>VLOOKUP(LEFT($C$3:$C$2600,3),Table!$D$2:$E$88,2,FALSE)</f>
        <v>0</v>
      </c>
      <c r="C867" s="455" t="str">
        <f t="shared" si="27"/>
        <v>9151501400</v>
      </c>
      <c r="D867" s="455" t="e">
        <f>VLOOKUP(G867,Table!$G$3:$H$21,2,FALSE)</f>
        <v>#N/A</v>
      </c>
      <c r="E867" s="452" t="s">
        <v>902</v>
      </c>
      <c r="F867" s="452" t="s">
        <v>1325</v>
      </c>
      <c r="G867" s="452" t="s">
        <v>1011</v>
      </c>
      <c r="H867" s="452" t="s">
        <v>1012</v>
      </c>
      <c r="I867" s="453" t="s">
        <v>844</v>
      </c>
      <c r="J867" s="453">
        <v>873.7</v>
      </c>
      <c r="K867" s="461">
        <v>49.8</v>
      </c>
      <c r="L867" s="461">
        <v>602.79999999999995</v>
      </c>
      <c r="M867" s="461">
        <v>287.89999999999998</v>
      </c>
      <c r="N867" s="461">
        <v>0</v>
      </c>
      <c r="O867" s="461">
        <v>0</v>
      </c>
      <c r="P867" s="461">
        <v>0</v>
      </c>
      <c r="Q867" s="461">
        <v>0</v>
      </c>
      <c r="R867" s="461">
        <v>0</v>
      </c>
      <c r="S867" s="461">
        <v>0</v>
      </c>
      <c r="T867" s="461">
        <v>0</v>
      </c>
      <c r="U867" s="461">
        <v>0</v>
      </c>
      <c r="V867" s="461">
        <v>0</v>
      </c>
    </row>
    <row r="868" spans="1:22" s="455" customFormat="1" hidden="1">
      <c r="A868" s="455" t="str">
        <f t="shared" si="26"/>
        <v>13109151502000</v>
      </c>
      <c r="B868" s="455">
        <f>VLOOKUP(LEFT($C$3:$C$2600,3),Table!$D$2:$E$88,2,FALSE)</f>
        <v>0</v>
      </c>
      <c r="C868" s="455" t="str">
        <f t="shared" si="27"/>
        <v>9151502000</v>
      </c>
      <c r="D868" s="455" t="e">
        <f>VLOOKUP(G868,Table!$G$3:$H$21,2,FALSE)</f>
        <v>#N/A</v>
      </c>
      <c r="E868" s="452" t="s">
        <v>902</v>
      </c>
      <c r="F868" s="452" t="s">
        <v>1325</v>
      </c>
      <c r="G868" s="452" t="s">
        <v>1206</v>
      </c>
      <c r="H868" s="452" t="s">
        <v>1207</v>
      </c>
      <c r="I868" s="453" t="s">
        <v>844</v>
      </c>
      <c r="J868" s="453">
        <v>6381</v>
      </c>
      <c r="K868" s="461">
        <v>6081</v>
      </c>
      <c r="L868" s="461">
        <v>300</v>
      </c>
      <c r="M868" s="461">
        <v>10515</v>
      </c>
      <c r="N868" s="461">
        <v>0</v>
      </c>
      <c r="O868" s="461">
        <v>0</v>
      </c>
      <c r="P868" s="461">
        <v>0</v>
      </c>
      <c r="Q868" s="461">
        <v>0</v>
      </c>
      <c r="R868" s="461">
        <v>0</v>
      </c>
      <c r="S868" s="461">
        <v>0</v>
      </c>
      <c r="T868" s="461">
        <v>0</v>
      </c>
      <c r="U868" s="461">
        <v>0</v>
      </c>
      <c r="V868" s="461">
        <v>0</v>
      </c>
    </row>
    <row r="869" spans="1:22" s="455" customFormat="1" hidden="1">
      <c r="A869" s="455" t="str">
        <f t="shared" si="26"/>
        <v>13109151502200</v>
      </c>
      <c r="B869" s="455">
        <f>VLOOKUP(LEFT($C$3:$C$2600,3),Table!$D$2:$E$88,2,FALSE)</f>
        <v>0</v>
      </c>
      <c r="C869" s="455" t="str">
        <f t="shared" si="27"/>
        <v>9151502200</v>
      </c>
      <c r="D869" s="455" t="e">
        <f>VLOOKUP(G869,Table!$G$3:$H$21,2,FALSE)</f>
        <v>#N/A</v>
      </c>
      <c r="E869" s="452" t="s">
        <v>902</v>
      </c>
      <c r="F869" s="452" t="s">
        <v>1325</v>
      </c>
      <c r="G869" s="452" t="s">
        <v>1208</v>
      </c>
      <c r="H869" s="452" t="s">
        <v>1209</v>
      </c>
      <c r="I869" s="453" t="s">
        <v>844</v>
      </c>
      <c r="J869" s="453">
        <v>198.25</v>
      </c>
      <c r="K869" s="461">
        <v>148</v>
      </c>
      <c r="L869" s="461">
        <v>50.25</v>
      </c>
      <c r="M869" s="461">
        <v>0</v>
      </c>
      <c r="N869" s="461">
        <v>0</v>
      </c>
      <c r="O869" s="461">
        <v>0</v>
      </c>
      <c r="P869" s="461">
        <v>0</v>
      </c>
      <c r="Q869" s="461">
        <v>0</v>
      </c>
      <c r="R869" s="461">
        <v>0</v>
      </c>
      <c r="S869" s="461">
        <v>0</v>
      </c>
      <c r="T869" s="461">
        <v>0</v>
      </c>
      <c r="U869" s="461">
        <v>0</v>
      </c>
      <c r="V869" s="461">
        <v>0</v>
      </c>
    </row>
    <row r="870" spans="1:22" s="455" customFormat="1" hidden="1">
      <c r="A870" s="455" t="str">
        <f t="shared" si="26"/>
        <v>13109151601000</v>
      </c>
      <c r="B870" s="455">
        <f>VLOOKUP(LEFT($C$3:$C$2600,3),Table!$D$2:$E$88,2,FALSE)</f>
        <v>0</v>
      </c>
      <c r="C870" s="455" t="str">
        <f t="shared" si="27"/>
        <v>9151601000</v>
      </c>
      <c r="D870" s="455" t="e">
        <f>VLOOKUP(G870,Table!$G$3:$H$21,2,FALSE)</f>
        <v>#N/A</v>
      </c>
      <c r="E870" s="452" t="s">
        <v>902</v>
      </c>
      <c r="F870" s="452" t="s">
        <v>1325</v>
      </c>
      <c r="G870" s="452" t="s">
        <v>1013</v>
      </c>
      <c r="H870" s="452" t="s">
        <v>1215</v>
      </c>
      <c r="I870" s="453" t="s">
        <v>844</v>
      </c>
      <c r="J870" s="453">
        <v>164.4</v>
      </c>
      <c r="K870" s="461">
        <v>0</v>
      </c>
      <c r="L870" s="461">
        <v>0</v>
      </c>
      <c r="M870" s="461">
        <v>164.4</v>
      </c>
      <c r="N870" s="461">
        <v>0</v>
      </c>
      <c r="O870" s="461">
        <v>0</v>
      </c>
      <c r="P870" s="461">
        <v>0</v>
      </c>
      <c r="Q870" s="461">
        <v>0</v>
      </c>
      <c r="R870" s="461">
        <v>0</v>
      </c>
      <c r="S870" s="461">
        <v>0</v>
      </c>
      <c r="T870" s="461">
        <v>0</v>
      </c>
      <c r="U870" s="461">
        <v>0</v>
      </c>
      <c r="V870" s="461">
        <v>0</v>
      </c>
    </row>
    <row r="871" spans="1:22" s="455" customFormat="1" hidden="1">
      <c r="A871" s="455" t="str">
        <f t="shared" si="26"/>
        <v>13109151601001</v>
      </c>
      <c r="B871" s="455">
        <f>VLOOKUP(LEFT($C$3:$C$2600,3),Table!$D$2:$E$88,2,FALSE)</f>
        <v>0</v>
      </c>
      <c r="C871" s="455" t="str">
        <f t="shared" si="27"/>
        <v>9151601001</v>
      </c>
      <c r="D871" s="455" t="e">
        <f>VLOOKUP(G871,Table!$G$3:$H$21,2,FALSE)</f>
        <v>#N/A</v>
      </c>
      <c r="E871" s="452" t="s">
        <v>902</v>
      </c>
      <c r="F871" s="452" t="s">
        <v>1325</v>
      </c>
      <c r="G871" s="452" t="s">
        <v>1015</v>
      </c>
      <c r="H871" s="452" t="s">
        <v>1016</v>
      </c>
      <c r="I871" s="453" t="s">
        <v>844</v>
      </c>
      <c r="J871" s="453">
        <v>1147</v>
      </c>
      <c r="K871" s="461">
        <v>382.5</v>
      </c>
      <c r="L871" s="461">
        <v>512.9</v>
      </c>
      <c r="M871" s="461">
        <v>251.6</v>
      </c>
      <c r="N871" s="461">
        <v>0</v>
      </c>
      <c r="O871" s="461">
        <v>0</v>
      </c>
      <c r="P871" s="461">
        <v>0</v>
      </c>
      <c r="Q871" s="461">
        <v>0</v>
      </c>
      <c r="R871" s="461">
        <v>0</v>
      </c>
      <c r="S871" s="461">
        <v>0</v>
      </c>
      <c r="T871" s="461">
        <v>0</v>
      </c>
      <c r="U871" s="461">
        <v>0</v>
      </c>
      <c r="V871" s="461">
        <v>0</v>
      </c>
    </row>
    <row r="872" spans="1:22" s="455" customFormat="1" hidden="1">
      <c r="A872" s="455" t="str">
        <f t="shared" si="26"/>
        <v>13109151602001</v>
      </c>
      <c r="B872" s="455">
        <f>VLOOKUP(LEFT($C$3:$C$2600,3),Table!$D$2:$E$88,2,FALSE)</f>
        <v>0</v>
      </c>
      <c r="C872" s="455" t="str">
        <f t="shared" si="27"/>
        <v>9151602001</v>
      </c>
      <c r="D872" s="455" t="e">
        <f>VLOOKUP(G872,Table!$G$3:$H$21,2,FALSE)</f>
        <v>#N/A</v>
      </c>
      <c r="E872" s="452" t="s">
        <v>902</v>
      </c>
      <c r="F872" s="452" t="s">
        <v>1325</v>
      </c>
      <c r="G872" s="452" t="s">
        <v>2533</v>
      </c>
      <c r="H872" s="452" t="s">
        <v>2534</v>
      </c>
      <c r="I872" s="453" t="s">
        <v>844</v>
      </c>
      <c r="J872" s="453">
        <v>128.4</v>
      </c>
      <c r="K872" s="461">
        <v>0</v>
      </c>
      <c r="L872" s="461">
        <v>45.23</v>
      </c>
      <c r="M872" s="461">
        <v>83.17</v>
      </c>
      <c r="N872" s="461">
        <v>0</v>
      </c>
      <c r="O872" s="461">
        <v>0</v>
      </c>
      <c r="P872" s="461">
        <v>0</v>
      </c>
      <c r="Q872" s="461">
        <v>0</v>
      </c>
      <c r="R872" s="461">
        <v>0</v>
      </c>
      <c r="S872" s="461">
        <v>0</v>
      </c>
      <c r="T872" s="461">
        <v>0</v>
      </c>
      <c r="U872" s="461">
        <v>0</v>
      </c>
      <c r="V872" s="461">
        <v>0</v>
      </c>
    </row>
    <row r="873" spans="1:22" s="455" customFormat="1" hidden="1">
      <c r="A873" s="455" t="str">
        <f t="shared" si="26"/>
        <v>13109151602100</v>
      </c>
      <c r="B873" s="455">
        <f>VLOOKUP(LEFT($C$3:$C$2600,3),Table!$D$2:$E$88,2,FALSE)</f>
        <v>0</v>
      </c>
      <c r="C873" s="455" t="str">
        <f t="shared" si="27"/>
        <v>9151602100</v>
      </c>
      <c r="D873" s="455" t="e">
        <f>VLOOKUP(G873,Table!$G$3:$H$21,2,FALSE)</f>
        <v>#N/A</v>
      </c>
      <c r="E873" s="452" t="s">
        <v>902</v>
      </c>
      <c r="F873" s="452" t="s">
        <v>1325</v>
      </c>
      <c r="G873" s="452" t="s">
        <v>1210</v>
      </c>
      <c r="H873" s="452" t="s">
        <v>1211</v>
      </c>
      <c r="I873" s="453" t="s">
        <v>844</v>
      </c>
      <c r="J873" s="453">
        <v>1597.23</v>
      </c>
      <c r="K873" s="461">
        <v>0</v>
      </c>
      <c r="L873" s="461">
        <v>425.62</v>
      </c>
      <c r="M873" s="461">
        <v>1171.6099999999999</v>
      </c>
      <c r="N873" s="461">
        <v>0</v>
      </c>
      <c r="O873" s="461">
        <v>0</v>
      </c>
      <c r="P873" s="461">
        <v>0</v>
      </c>
      <c r="Q873" s="461">
        <v>0</v>
      </c>
      <c r="R873" s="461">
        <v>0</v>
      </c>
      <c r="S873" s="461">
        <v>0</v>
      </c>
      <c r="T873" s="461">
        <v>0</v>
      </c>
      <c r="U873" s="461">
        <v>0</v>
      </c>
      <c r="V873" s="461">
        <v>0</v>
      </c>
    </row>
    <row r="874" spans="1:22" s="455" customFormat="1" hidden="1">
      <c r="A874" s="455" t="str">
        <f t="shared" si="26"/>
        <v>13109151701000</v>
      </c>
      <c r="B874" s="455">
        <f>VLOOKUP(LEFT($C$3:$C$2600,3),Table!$D$2:$E$88,2,FALSE)</f>
        <v>0</v>
      </c>
      <c r="C874" s="455" t="str">
        <f t="shared" si="27"/>
        <v>9151701000</v>
      </c>
      <c r="D874" s="455" t="e">
        <f>VLOOKUP(G874,Table!$G$3:$H$21,2,FALSE)</f>
        <v>#N/A</v>
      </c>
      <c r="E874" s="452" t="s">
        <v>902</v>
      </c>
      <c r="F874" s="452" t="s">
        <v>1325</v>
      </c>
      <c r="G874" s="452" t="s">
        <v>1330</v>
      </c>
      <c r="H874" s="452" t="s">
        <v>1331</v>
      </c>
      <c r="I874" s="453" t="s">
        <v>844</v>
      </c>
      <c r="J874" s="453">
        <v>777.39</v>
      </c>
      <c r="K874" s="461">
        <v>56.21</v>
      </c>
      <c r="L874" s="461">
        <v>609.73</v>
      </c>
      <c r="M874" s="461">
        <v>54.35</v>
      </c>
      <c r="N874" s="461">
        <v>0</v>
      </c>
      <c r="O874" s="461">
        <v>0</v>
      </c>
      <c r="P874" s="461">
        <v>0</v>
      </c>
      <c r="Q874" s="461">
        <v>0</v>
      </c>
      <c r="R874" s="461">
        <v>0</v>
      </c>
      <c r="S874" s="461">
        <v>0</v>
      </c>
      <c r="T874" s="461">
        <v>0</v>
      </c>
      <c r="U874" s="461">
        <v>0</v>
      </c>
      <c r="V874" s="461">
        <v>0</v>
      </c>
    </row>
    <row r="875" spans="1:22" s="455" customFormat="1" hidden="1">
      <c r="A875" s="455" t="str">
        <f t="shared" si="26"/>
        <v>13109151701010</v>
      </c>
      <c r="B875" s="455">
        <f>VLOOKUP(LEFT($C$3:$C$2600,3),Table!$D$2:$E$88,2,FALSE)</f>
        <v>0</v>
      </c>
      <c r="C875" s="455" t="str">
        <f t="shared" si="27"/>
        <v>9151701010</v>
      </c>
      <c r="D875" s="455" t="e">
        <f>VLOOKUP(G875,Table!$G$3:$H$21,2,FALSE)</f>
        <v>#N/A</v>
      </c>
      <c r="E875" s="452" t="s">
        <v>902</v>
      </c>
      <c r="F875" s="452" t="s">
        <v>1325</v>
      </c>
      <c r="G875" s="452" t="s">
        <v>1315</v>
      </c>
      <c r="H875" s="452" t="s">
        <v>1316</v>
      </c>
      <c r="I875" s="453" t="s">
        <v>844</v>
      </c>
      <c r="J875" s="453">
        <v>83</v>
      </c>
      <c r="K875" s="461">
        <v>0</v>
      </c>
      <c r="L875" s="461">
        <v>20.149999999999999</v>
      </c>
      <c r="M875" s="461">
        <v>39.880000000000003</v>
      </c>
      <c r="N875" s="461">
        <v>0</v>
      </c>
      <c r="O875" s="461">
        <v>0</v>
      </c>
      <c r="P875" s="461">
        <v>0</v>
      </c>
      <c r="Q875" s="461">
        <v>0</v>
      </c>
      <c r="R875" s="461">
        <v>0</v>
      </c>
      <c r="S875" s="461">
        <v>0</v>
      </c>
      <c r="T875" s="461">
        <v>0</v>
      </c>
      <c r="U875" s="461">
        <v>0</v>
      </c>
      <c r="V875" s="461">
        <v>0</v>
      </c>
    </row>
    <row r="876" spans="1:22" s="455" customFormat="1" hidden="1">
      <c r="A876" s="455" t="str">
        <f t="shared" si="26"/>
        <v>13109151801100</v>
      </c>
      <c r="B876" s="455">
        <f>VLOOKUP(LEFT($C$3:$C$2600,3),Table!$D$2:$E$88,2,FALSE)</f>
        <v>0</v>
      </c>
      <c r="C876" s="455" t="str">
        <f t="shared" si="27"/>
        <v>9151801100</v>
      </c>
      <c r="D876" s="455" t="e">
        <f>VLOOKUP(G876,Table!$G$3:$H$21,2,FALSE)</f>
        <v>#N/A</v>
      </c>
      <c r="E876" s="452" t="s">
        <v>902</v>
      </c>
      <c r="F876" s="452" t="s">
        <v>1325</v>
      </c>
      <c r="G876" s="452" t="s">
        <v>1017</v>
      </c>
      <c r="H876" s="452" t="s">
        <v>1018</v>
      </c>
      <c r="I876" s="453" t="s">
        <v>844</v>
      </c>
      <c r="J876" s="453">
        <v>203.4</v>
      </c>
      <c r="K876" s="461">
        <v>203.4</v>
      </c>
      <c r="L876" s="461">
        <v>59.55</v>
      </c>
      <c r="M876" s="461">
        <v>38.200000000000003</v>
      </c>
      <c r="N876" s="461">
        <v>0</v>
      </c>
      <c r="O876" s="461">
        <v>0</v>
      </c>
      <c r="P876" s="461">
        <v>0</v>
      </c>
      <c r="Q876" s="461">
        <v>0</v>
      </c>
      <c r="R876" s="461">
        <v>0</v>
      </c>
      <c r="S876" s="461">
        <v>0</v>
      </c>
      <c r="T876" s="461">
        <v>0</v>
      </c>
      <c r="U876" s="461">
        <v>0</v>
      </c>
      <c r="V876" s="461">
        <v>0</v>
      </c>
    </row>
    <row r="877" spans="1:22" s="455" customFormat="1" hidden="1">
      <c r="A877" s="455" t="str">
        <f t="shared" si="26"/>
        <v>13109151801200</v>
      </c>
      <c r="B877" s="455">
        <f>VLOOKUP(LEFT($C$3:$C$2600,3),Table!$D$2:$E$88,2,FALSE)</f>
        <v>0</v>
      </c>
      <c r="C877" s="455" t="str">
        <f t="shared" si="27"/>
        <v>9151801200</v>
      </c>
      <c r="D877" s="455" t="e">
        <f>VLOOKUP(G877,Table!$G$3:$H$21,2,FALSE)</f>
        <v>#N/A</v>
      </c>
      <c r="E877" s="452" t="s">
        <v>902</v>
      </c>
      <c r="F877" s="452" t="s">
        <v>1325</v>
      </c>
      <c r="G877" s="452" t="s">
        <v>1332</v>
      </c>
      <c r="H877" s="452" t="s">
        <v>1333</v>
      </c>
      <c r="I877" s="453" t="s">
        <v>844</v>
      </c>
      <c r="J877" s="453">
        <v>438.25</v>
      </c>
      <c r="K877" s="461">
        <v>438.25</v>
      </c>
      <c r="L877" s="461">
        <v>390</v>
      </c>
      <c r="M877" s="461">
        <v>390</v>
      </c>
      <c r="N877" s="461">
        <v>0</v>
      </c>
      <c r="O877" s="461">
        <v>0</v>
      </c>
      <c r="P877" s="461">
        <v>0</v>
      </c>
      <c r="Q877" s="461">
        <v>0</v>
      </c>
      <c r="R877" s="461">
        <v>0</v>
      </c>
      <c r="S877" s="461">
        <v>0</v>
      </c>
      <c r="T877" s="461">
        <v>0</v>
      </c>
      <c r="U877" s="461">
        <v>0</v>
      </c>
      <c r="V877" s="461">
        <v>0</v>
      </c>
    </row>
    <row r="878" spans="1:22" s="455" customFormat="1" hidden="1">
      <c r="A878" s="455" t="str">
        <f t="shared" si="26"/>
        <v>13109151801300</v>
      </c>
      <c r="B878" s="455">
        <f>VLOOKUP(LEFT($C$3:$C$2600,3),Table!$D$2:$E$88,2,FALSE)</f>
        <v>0</v>
      </c>
      <c r="C878" s="455" t="str">
        <f t="shared" si="27"/>
        <v>9151801300</v>
      </c>
      <c r="D878" s="455" t="e">
        <f>VLOOKUP(G878,Table!$G$3:$H$21,2,FALSE)</f>
        <v>#N/A</v>
      </c>
      <c r="E878" s="452" t="s">
        <v>902</v>
      </c>
      <c r="F878" s="452" t="s">
        <v>1325</v>
      </c>
      <c r="G878" s="452" t="s">
        <v>1166</v>
      </c>
      <c r="H878" s="452" t="s">
        <v>1167</v>
      </c>
      <c r="I878" s="453" t="s">
        <v>844</v>
      </c>
      <c r="J878" s="453">
        <v>734.7</v>
      </c>
      <c r="K878" s="461">
        <v>0</v>
      </c>
      <c r="L878" s="461">
        <v>0</v>
      </c>
      <c r="M878" s="461">
        <v>734.7</v>
      </c>
      <c r="N878" s="461">
        <v>0</v>
      </c>
      <c r="O878" s="461">
        <v>0</v>
      </c>
      <c r="P878" s="461">
        <v>0</v>
      </c>
      <c r="Q878" s="461">
        <v>0</v>
      </c>
      <c r="R878" s="461">
        <v>0</v>
      </c>
      <c r="S878" s="461">
        <v>0</v>
      </c>
      <c r="T878" s="461">
        <v>0</v>
      </c>
      <c r="U878" s="461">
        <v>0</v>
      </c>
      <c r="V878" s="461">
        <v>0</v>
      </c>
    </row>
    <row r="879" spans="1:22" s="455" customFormat="1" hidden="1">
      <c r="A879" s="455" t="str">
        <f t="shared" si="26"/>
        <v>13109151801700</v>
      </c>
      <c r="B879" s="455">
        <f>VLOOKUP(LEFT($C$3:$C$2600,3),Table!$D$2:$E$88,2,FALSE)</f>
        <v>0</v>
      </c>
      <c r="C879" s="455" t="str">
        <f t="shared" si="27"/>
        <v>9151801700</v>
      </c>
      <c r="D879" s="455" t="e">
        <f>VLOOKUP(G879,Table!$G$3:$H$21,2,FALSE)</f>
        <v>#N/A</v>
      </c>
      <c r="E879" s="452" t="s">
        <v>902</v>
      </c>
      <c r="F879" s="452" t="s">
        <v>1325</v>
      </c>
      <c r="G879" s="452" t="s">
        <v>1301</v>
      </c>
      <c r="H879" s="452" t="s">
        <v>1302</v>
      </c>
      <c r="I879" s="453" t="s">
        <v>844</v>
      </c>
      <c r="J879" s="453">
        <v>9900</v>
      </c>
      <c r="K879" s="461">
        <v>0</v>
      </c>
      <c r="L879" s="461">
        <v>9900</v>
      </c>
      <c r="M879" s="461">
        <v>0</v>
      </c>
      <c r="N879" s="461">
        <v>0</v>
      </c>
      <c r="O879" s="461">
        <v>0</v>
      </c>
      <c r="P879" s="461">
        <v>0</v>
      </c>
      <c r="Q879" s="461">
        <v>0</v>
      </c>
      <c r="R879" s="461">
        <v>0</v>
      </c>
      <c r="S879" s="461">
        <v>0</v>
      </c>
      <c r="T879" s="461">
        <v>0</v>
      </c>
      <c r="U879" s="461">
        <v>0</v>
      </c>
      <c r="V879" s="461">
        <v>0</v>
      </c>
    </row>
    <row r="880" spans="1:22" s="455" customFormat="1" hidden="1">
      <c r="A880" s="455" t="str">
        <f t="shared" si="26"/>
        <v>13109151802100</v>
      </c>
      <c r="B880" s="455">
        <f>VLOOKUP(LEFT($C$3:$C$2600,3),Table!$D$2:$E$88,2,FALSE)</f>
        <v>0</v>
      </c>
      <c r="C880" s="455" t="str">
        <f t="shared" si="27"/>
        <v>9151802100</v>
      </c>
      <c r="D880" s="455" t="e">
        <f>VLOOKUP(G880,Table!$G$3:$H$21,2,FALSE)</f>
        <v>#N/A</v>
      </c>
      <c r="E880" s="452" t="s">
        <v>902</v>
      </c>
      <c r="F880" s="452" t="s">
        <v>1325</v>
      </c>
      <c r="G880" s="452" t="s">
        <v>1216</v>
      </c>
      <c r="H880" s="452" t="s">
        <v>1217</v>
      </c>
      <c r="I880" s="453" t="s">
        <v>844</v>
      </c>
      <c r="J880" s="453">
        <v>43</v>
      </c>
      <c r="K880" s="461">
        <v>43</v>
      </c>
      <c r="L880" s="461">
        <v>0</v>
      </c>
      <c r="M880" s="461">
        <v>0</v>
      </c>
      <c r="N880" s="461">
        <v>0</v>
      </c>
      <c r="O880" s="461">
        <v>0</v>
      </c>
      <c r="P880" s="461">
        <v>0</v>
      </c>
      <c r="Q880" s="461">
        <v>0</v>
      </c>
      <c r="R880" s="461">
        <v>0</v>
      </c>
      <c r="S880" s="461">
        <v>0</v>
      </c>
      <c r="T880" s="461">
        <v>0</v>
      </c>
      <c r="U880" s="461">
        <v>0</v>
      </c>
      <c r="V880" s="461">
        <v>0</v>
      </c>
    </row>
    <row r="881" spans="1:22" s="455" customFormat="1" hidden="1">
      <c r="A881" s="455" t="str">
        <f t="shared" si="26"/>
        <v>13109152020111</v>
      </c>
      <c r="B881" s="455">
        <f>VLOOKUP(LEFT($C$3:$C$2600,3),Table!$D$2:$E$88,2,FALSE)</f>
        <v>0</v>
      </c>
      <c r="C881" s="455" t="str">
        <f t="shared" si="27"/>
        <v>9152020111</v>
      </c>
      <c r="D881" s="455" t="e">
        <f>VLOOKUP(G881,Table!$G$3:$H$21,2,FALSE)</f>
        <v>#N/A</v>
      </c>
      <c r="E881" s="452" t="s">
        <v>902</v>
      </c>
      <c r="F881" s="452" t="s">
        <v>1325</v>
      </c>
      <c r="G881" s="452" t="s">
        <v>1176</v>
      </c>
      <c r="H881" s="452" t="s">
        <v>1177</v>
      </c>
      <c r="I881" s="453" t="s">
        <v>844</v>
      </c>
      <c r="J881" s="453">
        <v>1062</v>
      </c>
      <c r="K881" s="461">
        <v>0</v>
      </c>
      <c r="L881" s="461">
        <v>0</v>
      </c>
      <c r="M881" s="461">
        <v>1062</v>
      </c>
      <c r="N881" s="461">
        <v>0</v>
      </c>
      <c r="O881" s="461">
        <v>0</v>
      </c>
      <c r="P881" s="461">
        <v>0</v>
      </c>
      <c r="Q881" s="461">
        <v>0</v>
      </c>
      <c r="R881" s="461">
        <v>0</v>
      </c>
      <c r="S881" s="461">
        <v>0</v>
      </c>
      <c r="T881" s="461">
        <v>0</v>
      </c>
      <c r="U881" s="461">
        <v>0</v>
      </c>
      <c r="V881" s="461">
        <v>0</v>
      </c>
    </row>
    <row r="882" spans="1:22" s="455" customFormat="1" hidden="1">
      <c r="A882" s="455" t="str">
        <f t="shared" si="26"/>
        <v>13109152020212</v>
      </c>
      <c r="B882" s="455">
        <f>VLOOKUP(LEFT($C$3:$C$2600,3),Table!$D$2:$E$88,2,FALSE)</f>
        <v>0</v>
      </c>
      <c r="C882" s="455" t="str">
        <f t="shared" si="27"/>
        <v>9152020212</v>
      </c>
      <c r="D882" s="455" t="e">
        <f>VLOOKUP(G882,Table!$G$3:$H$21,2,FALSE)</f>
        <v>#N/A</v>
      </c>
      <c r="E882" s="452" t="s">
        <v>902</v>
      </c>
      <c r="F882" s="452" t="s">
        <v>1325</v>
      </c>
      <c r="G882" s="452" t="s">
        <v>1023</v>
      </c>
      <c r="H882" s="452" t="s">
        <v>1024</v>
      </c>
      <c r="I882" s="453" t="s">
        <v>844</v>
      </c>
      <c r="J882" s="453">
        <v>818</v>
      </c>
      <c r="K882" s="461">
        <v>160</v>
      </c>
      <c r="L882" s="461">
        <v>468</v>
      </c>
      <c r="M882" s="461">
        <v>468</v>
      </c>
      <c r="N882" s="461">
        <v>0</v>
      </c>
      <c r="O882" s="461">
        <v>0</v>
      </c>
      <c r="P882" s="461">
        <v>0</v>
      </c>
      <c r="Q882" s="461">
        <v>0</v>
      </c>
      <c r="R882" s="461">
        <v>0</v>
      </c>
      <c r="S882" s="461">
        <v>0</v>
      </c>
      <c r="T882" s="461">
        <v>0</v>
      </c>
      <c r="U882" s="461">
        <v>0</v>
      </c>
      <c r="V882" s="461">
        <v>0</v>
      </c>
    </row>
    <row r="883" spans="1:22" s="455" customFormat="1" hidden="1">
      <c r="A883" s="455" t="str">
        <f t="shared" si="26"/>
        <v>13109152025111</v>
      </c>
      <c r="B883" s="455">
        <f>VLOOKUP(LEFT($C$3:$C$2600,3),Table!$D$2:$E$88,2,FALSE)</f>
        <v>0</v>
      </c>
      <c r="C883" s="455" t="str">
        <f t="shared" si="27"/>
        <v>9152025111</v>
      </c>
      <c r="D883" s="455" t="e">
        <f>VLOOKUP(G883,Table!$G$3:$H$21,2,FALSE)</f>
        <v>#N/A</v>
      </c>
      <c r="E883" s="452" t="s">
        <v>902</v>
      </c>
      <c r="F883" s="452" t="s">
        <v>1325</v>
      </c>
      <c r="G883" s="452" t="s">
        <v>1334</v>
      </c>
      <c r="H883" s="452" t="s">
        <v>1335</v>
      </c>
      <c r="I883" s="453" t="s">
        <v>844</v>
      </c>
      <c r="J883" s="453">
        <v>21279</v>
      </c>
      <c r="K883" s="461">
        <v>7153</v>
      </c>
      <c r="L883" s="461">
        <v>7063</v>
      </c>
      <c r="M883" s="461">
        <v>7063</v>
      </c>
      <c r="N883" s="461">
        <v>0</v>
      </c>
      <c r="O883" s="461">
        <v>0</v>
      </c>
      <c r="P883" s="461">
        <v>0</v>
      </c>
      <c r="Q883" s="461">
        <v>0</v>
      </c>
      <c r="R883" s="461">
        <v>0</v>
      </c>
      <c r="S883" s="461">
        <v>0</v>
      </c>
      <c r="T883" s="461">
        <v>0</v>
      </c>
      <c r="U883" s="461">
        <v>0</v>
      </c>
      <c r="V883" s="461">
        <v>0</v>
      </c>
    </row>
    <row r="884" spans="1:22" s="455" customFormat="1" hidden="1">
      <c r="A884" s="455" t="str">
        <f t="shared" si="26"/>
        <v>13109152050011</v>
      </c>
      <c r="B884" s="455">
        <f>VLOOKUP(LEFT($C$3:$C$2600,3),Table!$D$2:$E$88,2,FALSE)</f>
        <v>0</v>
      </c>
      <c r="C884" s="455" t="str">
        <f t="shared" si="27"/>
        <v>9152050011</v>
      </c>
      <c r="D884" s="455" t="e">
        <f>VLOOKUP(G884,Table!$G$3:$H$21,2,FALSE)</f>
        <v>#N/A</v>
      </c>
      <c r="E884" s="452" t="s">
        <v>902</v>
      </c>
      <c r="F884" s="452" t="s">
        <v>1325</v>
      </c>
      <c r="G884" s="452" t="s">
        <v>1031</v>
      </c>
      <c r="H884" s="452" t="s">
        <v>1032</v>
      </c>
      <c r="I884" s="453" t="s">
        <v>844</v>
      </c>
      <c r="J884" s="453">
        <v>754.1</v>
      </c>
      <c r="K884" s="461">
        <v>1224.0999999999999</v>
      </c>
      <c r="L884" s="461">
        <v>-530</v>
      </c>
      <c r="M884" s="461">
        <v>60</v>
      </c>
      <c r="N884" s="461">
        <v>0</v>
      </c>
      <c r="O884" s="461">
        <v>0</v>
      </c>
      <c r="P884" s="461">
        <v>0</v>
      </c>
      <c r="Q884" s="461">
        <v>0</v>
      </c>
      <c r="R884" s="461">
        <v>0</v>
      </c>
      <c r="S884" s="461">
        <v>0</v>
      </c>
      <c r="T884" s="461">
        <v>0</v>
      </c>
      <c r="U884" s="461">
        <v>0</v>
      </c>
      <c r="V884" s="461">
        <v>0</v>
      </c>
    </row>
    <row r="885" spans="1:22" s="455" customFormat="1" hidden="1">
      <c r="A885" s="455" t="str">
        <f t="shared" si="26"/>
        <v>13109152050021</v>
      </c>
      <c r="B885" s="455">
        <f>VLOOKUP(LEFT($C$3:$C$2600,3),Table!$D$2:$E$88,2,FALSE)</f>
        <v>0</v>
      </c>
      <c r="C885" s="455" t="str">
        <f t="shared" si="27"/>
        <v>9152050021</v>
      </c>
      <c r="D885" s="455" t="e">
        <f>VLOOKUP(G885,Table!$G$3:$H$21,2,FALSE)</f>
        <v>#N/A</v>
      </c>
      <c r="E885" s="452" t="s">
        <v>902</v>
      </c>
      <c r="F885" s="452" t="s">
        <v>1325</v>
      </c>
      <c r="G885" s="452" t="s">
        <v>1158</v>
      </c>
      <c r="H885" s="452" t="s">
        <v>1159</v>
      </c>
      <c r="I885" s="453" t="s">
        <v>844</v>
      </c>
      <c r="J885" s="453">
        <v>6206.76</v>
      </c>
      <c r="K885" s="461">
        <v>552.77</v>
      </c>
      <c r="L885" s="461">
        <v>657.25</v>
      </c>
      <c r="M885" s="461">
        <v>5216.74</v>
      </c>
      <c r="N885" s="461">
        <v>0</v>
      </c>
      <c r="O885" s="461">
        <v>0</v>
      </c>
      <c r="P885" s="461">
        <v>0</v>
      </c>
      <c r="Q885" s="461">
        <v>0</v>
      </c>
      <c r="R885" s="461">
        <v>0</v>
      </c>
      <c r="S885" s="461">
        <v>0</v>
      </c>
      <c r="T885" s="461">
        <v>0</v>
      </c>
      <c r="U885" s="461">
        <v>0</v>
      </c>
      <c r="V885" s="461">
        <v>0</v>
      </c>
    </row>
    <row r="886" spans="1:22" s="455" customFormat="1" hidden="1">
      <c r="A886" s="455" t="str">
        <f t="shared" si="26"/>
        <v>13109152072700</v>
      </c>
      <c r="B886" s="455">
        <f>VLOOKUP(LEFT($C$3:$C$2600,3),Table!$D$2:$E$88,2,FALSE)</f>
        <v>0</v>
      </c>
      <c r="C886" s="455" t="str">
        <f t="shared" si="27"/>
        <v>9152072700</v>
      </c>
      <c r="D886" s="455" t="e">
        <f>VLOOKUP(G886,Table!$G$3:$H$21,2,FALSE)</f>
        <v>#N/A</v>
      </c>
      <c r="E886" s="452" t="s">
        <v>902</v>
      </c>
      <c r="F886" s="452" t="s">
        <v>1325</v>
      </c>
      <c r="G886" s="452" t="s">
        <v>1387</v>
      </c>
      <c r="H886" s="452" t="s">
        <v>1388</v>
      </c>
      <c r="I886" s="453" t="s">
        <v>844</v>
      </c>
      <c r="J886" s="453">
        <v>220</v>
      </c>
      <c r="K886" s="461">
        <v>0</v>
      </c>
      <c r="L886" s="461">
        <v>220</v>
      </c>
      <c r="M886" s="461">
        <v>0</v>
      </c>
      <c r="N886" s="461">
        <v>0</v>
      </c>
      <c r="O886" s="461">
        <v>0</v>
      </c>
      <c r="P886" s="461">
        <v>0</v>
      </c>
      <c r="Q886" s="461">
        <v>0</v>
      </c>
      <c r="R886" s="461">
        <v>0</v>
      </c>
      <c r="S886" s="461">
        <v>0</v>
      </c>
      <c r="T886" s="461">
        <v>0</v>
      </c>
      <c r="U886" s="461">
        <v>0</v>
      </c>
      <c r="V886" s="461">
        <v>0</v>
      </c>
    </row>
    <row r="887" spans="1:22" s="455" customFormat="1" hidden="1">
      <c r="A887" s="455" t="str">
        <f t="shared" si="26"/>
        <v>13109152501400</v>
      </c>
      <c r="B887" s="455">
        <f>VLOOKUP(LEFT($C$3:$C$2600,3),Table!$D$2:$E$88,2,FALSE)</f>
        <v>0</v>
      </c>
      <c r="C887" s="455" t="str">
        <f t="shared" si="27"/>
        <v>9152501400</v>
      </c>
      <c r="D887" s="455" t="e">
        <f>VLOOKUP(G887,Table!$G$3:$H$21,2,FALSE)</f>
        <v>#N/A</v>
      </c>
      <c r="E887" s="452" t="s">
        <v>902</v>
      </c>
      <c r="F887" s="452" t="s">
        <v>1325</v>
      </c>
      <c r="G887" s="452" t="s">
        <v>1319</v>
      </c>
      <c r="H887" s="452" t="s">
        <v>1320</v>
      </c>
      <c r="I887" s="453" t="s">
        <v>844</v>
      </c>
      <c r="J887" s="453">
        <v>-8800</v>
      </c>
      <c r="K887" s="461">
        <v>0</v>
      </c>
      <c r="L887" s="461">
        <v>0</v>
      </c>
      <c r="M887" s="461">
        <v>0</v>
      </c>
      <c r="N887" s="461">
        <v>0</v>
      </c>
      <c r="O887" s="461">
        <v>0</v>
      </c>
      <c r="P887" s="461">
        <v>0</v>
      </c>
      <c r="Q887" s="461">
        <v>0</v>
      </c>
      <c r="R887" s="461">
        <v>0</v>
      </c>
      <c r="S887" s="461">
        <v>0</v>
      </c>
      <c r="T887" s="461">
        <v>0</v>
      </c>
      <c r="U887" s="461">
        <v>0</v>
      </c>
      <c r="V887" s="461">
        <v>0</v>
      </c>
    </row>
    <row r="888" spans="1:22" s="455" customFormat="1" hidden="1">
      <c r="A888" s="455" t="str">
        <f t="shared" si="26"/>
        <v>13109152701039</v>
      </c>
      <c r="B888" s="455">
        <f>VLOOKUP(LEFT($C$3:$C$2600,3),Table!$D$2:$E$88,2,FALSE)</f>
        <v>0</v>
      </c>
      <c r="C888" s="455" t="str">
        <f t="shared" si="27"/>
        <v>9152701039</v>
      </c>
      <c r="D888" s="455" t="e">
        <f>VLOOKUP(G888,Table!$G$3:$H$21,2,FALSE)</f>
        <v>#N/A</v>
      </c>
      <c r="E888" s="452" t="s">
        <v>902</v>
      </c>
      <c r="F888" s="452" t="s">
        <v>1325</v>
      </c>
      <c r="G888" s="452" t="s">
        <v>1340</v>
      </c>
      <c r="H888" s="452" t="s">
        <v>1341</v>
      </c>
      <c r="I888" s="453" t="s">
        <v>844</v>
      </c>
      <c r="J888" s="453">
        <v>520</v>
      </c>
      <c r="K888" s="461">
        <v>0</v>
      </c>
      <c r="L888" s="461">
        <v>520</v>
      </c>
      <c r="M888" s="461">
        <v>0</v>
      </c>
      <c r="N888" s="461">
        <v>0</v>
      </c>
      <c r="O888" s="461">
        <v>0</v>
      </c>
      <c r="P888" s="461">
        <v>0</v>
      </c>
      <c r="Q888" s="461">
        <v>0</v>
      </c>
      <c r="R888" s="461">
        <v>0</v>
      </c>
      <c r="S888" s="461">
        <v>0</v>
      </c>
      <c r="T888" s="461">
        <v>0</v>
      </c>
      <c r="U888" s="461">
        <v>0</v>
      </c>
      <c r="V888" s="461">
        <v>0</v>
      </c>
    </row>
    <row r="889" spans="1:22" s="455" customFormat="1" hidden="1">
      <c r="A889" s="455" t="str">
        <f t="shared" si="26"/>
        <v>13109152701139</v>
      </c>
      <c r="B889" s="455">
        <f>VLOOKUP(LEFT($C$3:$C$2600,3),Table!$D$2:$E$88,2,FALSE)</f>
        <v>0</v>
      </c>
      <c r="C889" s="455" t="str">
        <f t="shared" si="27"/>
        <v>9152701139</v>
      </c>
      <c r="D889" s="455" t="e">
        <f>VLOOKUP(G889,Table!$G$3:$H$21,2,FALSE)</f>
        <v>#N/A</v>
      </c>
      <c r="E889" s="452" t="s">
        <v>902</v>
      </c>
      <c r="F889" s="452" t="s">
        <v>1325</v>
      </c>
      <c r="G889" s="452" t="s">
        <v>1342</v>
      </c>
      <c r="H889" s="452" t="s">
        <v>1343</v>
      </c>
      <c r="I889" s="453" t="s">
        <v>844</v>
      </c>
      <c r="J889" s="453">
        <v>195.03</v>
      </c>
      <c r="K889" s="461">
        <v>61.03</v>
      </c>
      <c r="L889" s="461">
        <v>67</v>
      </c>
      <c r="M889" s="461">
        <v>67</v>
      </c>
      <c r="N889" s="461">
        <v>0</v>
      </c>
      <c r="O889" s="461">
        <v>0</v>
      </c>
      <c r="P889" s="461">
        <v>0</v>
      </c>
      <c r="Q889" s="461">
        <v>0</v>
      </c>
      <c r="R889" s="461">
        <v>0</v>
      </c>
      <c r="S889" s="461">
        <v>0</v>
      </c>
      <c r="T889" s="461">
        <v>0</v>
      </c>
      <c r="U889" s="461">
        <v>0</v>
      </c>
      <c r="V889" s="461">
        <v>0</v>
      </c>
    </row>
    <row r="890" spans="1:22" s="455" customFormat="1" hidden="1">
      <c r="A890" s="455" t="str">
        <f t="shared" si="26"/>
        <v>13109152701239</v>
      </c>
      <c r="B890" s="455">
        <f>VLOOKUP(LEFT($C$3:$C$2600,3),Table!$D$2:$E$88,2,FALSE)</f>
        <v>0</v>
      </c>
      <c r="C890" s="455" t="str">
        <f t="shared" si="27"/>
        <v>9152701239</v>
      </c>
      <c r="D890" s="455" t="e">
        <f>VLOOKUP(G890,Table!$G$3:$H$21,2,FALSE)</f>
        <v>#N/A</v>
      </c>
      <c r="E890" s="452" t="s">
        <v>902</v>
      </c>
      <c r="F890" s="452" t="s">
        <v>1325</v>
      </c>
      <c r="G890" s="452" t="s">
        <v>1344</v>
      </c>
      <c r="H890" s="452" t="s">
        <v>1345</v>
      </c>
      <c r="I890" s="453" t="s">
        <v>844</v>
      </c>
      <c r="J890" s="453">
        <v>759</v>
      </c>
      <c r="K890" s="461">
        <v>759</v>
      </c>
      <c r="L890" s="461">
        <v>0</v>
      </c>
      <c r="M890" s="461">
        <v>0</v>
      </c>
      <c r="N890" s="461">
        <v>0</v>
      </c>
      <c r="O890" s="461">
        <v>0</v>
      </c>
      <c r="P890" s="461">
        <v>0</v>
      </c>
      <c r="Q890" s="461">
        <v>0</v>
      </c>
      <c r="R890" s="461">
        <v>0</v>
      </c>
      <c r="S890" s="461">
        <v>0</v>
      </c>
      <c r="T890" s="461">
        <v>0</v>
      </c>
      <c r="U890" s="461">
        <v>0</v>
      </c>
      <c r="V890" s="461">
        <v>0</v>
      </c>
    </row>
    <row r="891" spans="1:22" s="455" customFormat="1" hidden="1">
      <c r="A891" s="455" t="str">
        <f t="shared" si="26"/>
        <v>13109152801000</v>
      </c>
      <c r="B891" s="455">
        <f>VLOOKUP(LEFT($C$3:$C$2600,3),Table!$D$2:$E$88,2,FALSE)</f>
        <v>0</v>
      </c>
      <c r="C891" s="455" t="str">
        <f t="shared" si="27"/>
        <v>9152801000</v>
      </c>
      <c r="D891" s="455" t="e">
        <f>VLOOKUP(G891,Table!$G$3:$H$21,2,FALSE)</f>
        <v>#N/A</v>
      </c>
      <c r="E891" s="452" t="s">
        <v>902</v>
      </c>
      <c r="F891" s="452" t="s">
        <v>1325</v>
      </c>
      <c r="G891" s="452" t="s">
        <v>1041</v>
      </c>
      <c r="H891" s="452" t="s">
        <v>1042</v>
      </c>
      <c r="I891" s="453" t="s">
        <v>844</v>
      </c>
      <c r="J891" s="453">
        <v>819</v>
      </c>
      <c r="K891" s="461">
        <v>795</v>
      </c>
      <c r="L891" s="461">
        <v>24</v>
      </c>
      <c r="M891" s="461">
        <v>0</v>
      </c>
      <c r="N891" s="461">
        <v>0</v>
      </c>
      <c r="O891" s="461">
        <v>0</v>
      </c>
      <c r="P891" s="461">
        <v>0</v>
      </c>
      <c r="Q891" s="461">
        <v>0</v>
      </c>
      <c r="R891" s="461">
        <v>0</v>
      </c>
      <c r="S891" s="461">
        <v>0</v>
      </c>
      <c r="T891" s="461">
        <v>0</v>
      </c>
      <c r="U891" s="461">
        <v>0</v>
      </c>
      <c r="V891" s="461">
        <v>0</v>
      </c>
    </row>
    <row r="892" spans="1:22" s="455" customFormat="1" hidden="1">
      <c r="A892" s="455" t="str">
        <f t="shared" si="26"/>
        <v>13109153001000</v>
      </c>
      <c r="B892" s="455">
        <f>VLOOKUP(LEFT($C$3:$C$2600,3),Table!$D$2:$E$88,2,FALSE)</f>
        <v>0</v>
      </c>
      <c r="C892" s="455" t="str">
        <f t="shared" si="27"/>
        <v>9153001000</v>
      </c>
      <c r="D892" s="455" t="e">
        <f>VLOOKUP(G892,Table!$G$3:$H$21,2,FALSE)</f>
        <v>#N/A</v>
      </c>
      <c r="E892" s="452" t="s">
        <v>902</v>
      </c>
      <c r="F892" s="452" t="s">
        <v>1325</v>
      </c>
      <c r="G892" s="452" t="s">
        <v>1043</v>
      </c>
      <c r="H892" s="452" t="s">
        <v>1044</v>
      </c>
      <c r="I892" s="453" t="s">
        <v>844</v>
      </c>
      <c r="J892" s="453">
        <v>85927</v>
      </c>
      <c r="K892" s="461">
        <v>28400</v>
      </c>
      <c r="L892" s="461">
        <v>28595</v>
      </c>
      <c r="M892" s="461">
        <v>28932</v>
      </c>
      <c r="N892" s="461">
        <v>0</v>
      </c>
      <c r="O892" s="461">
        <v>0</v>
      </c>
      <c r="P892" s="461">
        <v>0</v>
      </c>
      <c r="Q892" s="461">
        <v>0</v>
      </c>
      <c r="R892" s="461">
        <v>0</v>
      </c>
      <c r="S892" s="461">
        <v>0</v>
      </c>
      <c r="T892" s="461">
        <v>0</v>
      </c>
      <c r="U892" s="461">
        <v>0</v>
      </c>
      <c r="V892" s="461">
        <v>0</v>
      </c>
    </row>
    <row r="893" spans="1:22" s="455" customFormat="1" hidden="1">
      <c r="A893" s="455" t="str">
        <f t="shared" si="26"/>
        <v>13209151301500</v>
      </c>
      <c r="B893" s="455">
        <f>VLOOKUP(LEFT($C$3:$C$2600,3),Table!$D$2:$E$88,2,FALSE)</f>
        <v>0</v>
      </c>
      <c r="C893" s="455" t="str">
        <f t="shared" si="27"/>
        <v>9151301500</v>
      </c>
      <c r="D893" s="455" t="e">
        <f>VLOOKUP(G893,Table!$G$3:$H$21,2,FALSE)</f>
        <v>#N/A</v>
      </c>
      <c r="E893" s="452" t="s">
        <v>902</v>
      </c>
      <c r="F893" s="452" t="s">
        <v>1348</v>
      </c>
      <c r="G893" s="452" t="s">
        <v>1152</v>
      </c>
      <c r="H893" s="452" t="s">
        <v>1153</v>
      </c>
      <c r="I893" s="453" t="s">
        <v>844</v>
      </c>
      <c r="J893" s="453">
        <v>67.5</v>
      </c>
      <c r="K893" s="461">
        <v>0</v>
      </c>
      <c r="L893" s="461">
        <v>0</v>
      </c>
      <c r="M893" s="461">
        <v>67.5</v>
      </c>
      <c r="N893" s="461">
        <v>0</v>
      </c>
      <c r="O893" s="461">
        <v>0</v>
      </c>
      <c r="P893" s="461">
        <v>0</v>
      </c>
      <c r="Q893" s="461">
        <v>0</v>
      </c>
      <c r="R893" s="461">
        <v>0</v>
      </c>
      <c r="S893" s="461">
        <v>0</v>
      </c>
      <c r="T893" s="461">
        <v>0</v>
      </c>
      <c r="U893" s="461">
        <v>0</v>
      </c>
      <c r="V893" s="461">
        <v>0</v>
      </c>
    </row>
    <row r="894" spans="1:22" s="455" customFormat="1" hidden="1">
      <c r="A894" s="455" t="str">
        <f t="shared" si="26"/>
        <v>13209151302500</v>
      </c>
      <c r="B894" s="455">
        <f>VLOOKUP(LEFT($C$3:$C$2600,3),Table!$D$2:$E$88,2,FALSE)</f>
        <v>0</v>
      </c>
      <c r="C894" s="455" t="str">
        <f t="shared" si="27"/>
        <v>9151302500</v>
      </c>
      <c r="D894" s="455" t="e">
        <f>VLOOKUP(G894,Table!$G$3:$H$21,2,FALSE)</f>
        <v>#N/A</v>
      </c>
      <c r="E894" s="452" t="s">
        <v>902</v>
      </c>
      <c r="F894" s="452" t="s">
        <v>1348</v>
      </c>
      <c r="G894" s="452" t="s">
        <v>1154</v>
      </c>
      <c r="H894" s="452" t="s">
        <v>1155</v>
      </c>
      <c r="I894" s="453" t="s">
        <v>844</v>
      </c>
      <c r="J894" s="453">
        <v>60649.16</v>
      </c>
      <c r="K894" s="461">
        <v>18164.099999999999</v>
      </c>
      <c r="L894" s="461">
        <v>19959.099999999999</v>
      </c>
      <c r="M894" s="461">
        <v>22525.96</v>
      </c>
      <c r="N894" s="461">
        <v>0</v>
      </c>
      <c r="O894" s="461">
        <v>0</v>
      </c>
      <c r="P894" s="461">
        <v>0</v>
      </c>
      <c r="Q894" s="461">
        <v>0</v>
      </c>
      <c r="R894" s="461">
        <v>0</v>
      </c>
      <c r="S894" s="461">
        <v>0</v>
      </c>
      <c r="T894" s="461">
        <v>0</v>
      </c>
      <c r="U894" s="461">
        <v>0</v>
      </c>
      <c r="V894" s="461">
        <v>0</v>
      </c>
    </row>
    <row r="895" spans="1:22" s="455" customFormat="1" hidden="1">
      <c r="A895" s="455" t="str">
        <f t="shared" si="26"/>
        <v>13209151601001</v>
      </c>
      <c r="B895" s="455">
        <f>VLOOKUP(LEFT($C$3:$C$2600,3),Table!$D$2:$E$88,2,FALSE)</f>
        <v>0</v>
      </c>
      <c r="C895" s="455" t="str">
        <f t="shared" si="27"/>
        <v>9151601001</v>
      </c>
      <c r="D895" s="455" t="e">
        <f>VLOOKUP(G895,Table!$G$3:$H$21,2,FALSE)</f>
        <v>#N/A</v>
      </c>
      <c r="E895" s="452" t="s">
        <v>902</v>
      </c>
      <c r="F895" s="452" t="s">
        <v>1348</v>
      </c>
      <c r="G895" s="452" t="s">
        <v>1015</v>
      </c>
      <c r="H895" s="452" t="s">
        <v>1016</v>
      </c>
      <c r="I895" s="453" t="s">
        <v>844</v>
      </c>
      <c r="J895" s="453">
        <v>204</v>
      </c>
      <c r="K895" s="461">
        <v>42.5</v>
      </c>
      <c r="L895" s="461">
        <v>153</v>
      </c>
      <c r="M895" s="461">
        <v>8.5</v>
      </c>
      <c r="N895" s="461">
        <v>0</v>
      </c>
      <c r="O895" s="461">
        <v>0</v>
      </c>
      <c r="P895" s="461">
        <v>0</v>
      </c>
      <c r="Q895" s="461">
        <v>0</v>
      </c>
      <c r="R895" s="461">
        <v>0</v>
      </c>
      <c r="S895" s="461">
        <v>0</v>
      </c>
      <c r="T895" s="461">
        <v>0</v>
      </c>
      <c r="U895" s="461">
        <v>0</v>
      </c>
      <c r="V895" s="461">
        <v>0</v>
      </c>
    </row>
    <row r="896" spans="1:22" s="455" customFormat="1" hidden="1">
      <c r="A896" s="455" t="str">
        <f t="shared" si="26"/>
        <v>13209151802200</v>
      </c>
      <c r="B896" s="455">
        <f>VLOOKUP(LEFT($C$3:$C$2600,3),Table!$D$2:$E$88,2,FALSE)</f>
        <v>0</v>
      </c>
      <c r="C896" s="455" t="str">
        <f t="shared" si="27"/>
        <v>9151802200</v>
      </c>
      <c r="D896" s="455" t="e">
        <f>VLOOKUP(G896,Table!$G$3:$H$21,2,FALSE)</f>
        <v>#N/A</v>
      </c>
      <c r="E896" s="452" t="s">
        <v>902</v>
      </c>
      <c r="F896" s="452" t="s">
        <v>1348</v>
      </c>
      <c r="G896" s="452" t="s">
        <v>1019</v>
      </c>
      <c r="H896" s="452" t="s">
        <v>1020</v>
      </c>
      <c r="I896" s="453" t="s">
        <v>844</v>
      </c>
      <c r="J896" s="453">
        <v>90</v>
      </c>
      <c r="K896" s="461">
        <v>90</v>
      </c>
      <c r="L896" s="461">
        <v>0</v>
      </c>
      <c r="M896" s="461">
        <v>0</v>
      </c>
      <c r="N896" s="461">
        <v>0</v>
      </c>
      <c r="O896" s="461">
        <v>0</v>
      </c>
      <c r="P896" s="461">
        <v>0</v>
      </c>
      <c r="Q896" s="461">
        <v>0</v>
      </c>
      <c r="R896" s="461">
        <v>0</v>
      </c>
      <c r="S896" s="461">
        <v>0</v>
      </c>
      <c r="T896" s="461">
        <v>0</v>
      </c>
      <c r="U896" s="461">
        <v>0</v>
      </c>
      <c r="V896" s="461">
        <v>0</v>
      </c>
    </row>
    <row r="897" spans="1:22" s="455" customFormat="1" hidden="1">
      <c r="A897" s="455" t="str">
        <f t="shared" si="26"/>
        <v>13209152020212</v>
      </c>
      <c r="B897" s="455">
        <f>VLOOKUP(LEFT($C$3:$C$2600,3),Table!$D$2:$E$88,2,FALSE)</f>
        <v>0</v>
      </c>
      <c r="C897" s="455" t="str">
        <f t="shared" si="27"/>
        <v>9152020212</v>
      </c>
      <c r="D897" s="455" t="e">
        <f>VLOOKUP(G897,Table!$G$3:$H$21,2,FALSE)</f>
        <v>#N/A</v>
      </c>
      <c r="E897" s="452" t="s">
        <v>902</v>
      </c>
      <c r="F897" s="452" t="s">
        <v>1348</v>
      </c>
      <c r="G897" s="452" t="s">
        <v>1023</v>
      </c>
      <c r="H897" s="452" t="s">
        <v>1024</v>
      </c>
      <c r="I897" s="453" t="s">
        <v>844</v>
      </c>
      <c r="J897" s="453">
        <v>-20</v>
      </c>
      <c r="K897" s="461">
        <v>-990</v>
      </c>
      <c r="L897" s="461">
        <v>280</v>
      </c>
      <c r="M897" s="461">
        <v>690</v>
      </c>
      <c r="N897" s="461">
        <v>0</v>
      </c>
      <c r="O897" s="461">
        <v>0</v>
      </c>
      <c r="P897" s="461">
        <v>0</v>
      </c>
      <c r="Q897" s="461">
        <v>0</v>
      </c>
      <c r="R897" s="461">
        <v>0</v>
      </c>
      <c r="S897" s="461">
        <v>0</v>
      </c>
      <c r="T897" s="461">
        <v>0</v>
      </c>
      <c r="U897" s="461">
        <v>0</v>
      </c>
      <c r="V897" s="461">
        <v>0</v>
      </c>
    </row>
    <row r="898" spans="1:22" s="455" customFormat="1" hidden="1">
      <c r="A898" s="455" t="str">
        <f t="shared" si="26"/>
        <v>13209152050011</v>
      </c>
      <c r="B898" s="455">
        <f>VLOOKUP(LEFT($C$3:$C$2600,3),Table!$D$2:$E$88,2,FALSE)</f>
        <v>0</v>
      </c>
      <c r="C898" s="455" t="str">
        <f t="shared" si="27"/>
        <v>9152050011</v>
      </c>
      <c r="D898" s="455" t="e">
        <f>VLOOKUP(G898,Table!$G$3:$H$21,2,FALSE)</f>
        <v>#N/A</v>
      </c>
      <c r="E898" s="452" t="s">
        <v>902</v>
      </c>
      <c r="F898" s="452" t="s">
        <v>1348</v>
      </c>
      <c r="G898" s="452" t="s">
        <v>1031</v>
      </c>
      <c r="H898" s="452" t="s">
        <v>1032</v>
      </c>
      <c r="I898" s="453" t="s">
        <v>844</v>
      </c>
      <c r="J898" s="453">
        <v>6531.8</v>
      </c>
      <c r="K898" s="461">
        <v>3062</v>
      </c>
      <c r="L898" s="461">
        <v>1971.5</v>
      </c>
      <c r="M898" s="461">
        <v>2388.3000000000002</v>
      </c>
      <c r="N898" s="461">
        <v>0</v>
      </c>
      <c r="O898" s="461">
        <v>0</v>
      </c>
      <c r="P898" s="461">
        <v>0</v>
      </c>
      <c r="Q898" s="461">
        <v>0</v>
      </c>
      <c r="R898" s="461">
        <v>0</v>
      </c>
      <c r="S898" s="461">
        <v>0</v>
      </c>
      <c r="T898" s="461">
        <v>0</v>
      </c>
      <c r="U898" s="461">
        <v>0</v>
      </c>
      <c r="V898" s="461">
        <v>0</v>
      </c>
    </row>
    <row r="899" spans="1:22" s="455" customFormat="1" hidden="1">
      <c r="A899" s="455" t="str">
        <f t="shared" si="26"/>
        <v>13209152050021</v>
      </c>
      <c r="B899" s="455">
        <f>VLOOKUP(LEFT($C$3:$C$2600,3),Table!$D$2:$E$88,2,FALSE)</f>
        <v>0</v>
      </c>
      <c r="C899" s="455" t="str">
        <f t="shared" si="27"/>
        <v>9152050021</v>
      </c>
      <c r="D899" s="455" t="e">
        <f>VLOOKUP(G899,Table!$G$3:$H$21,2,FALSE)</f>
        <v>#N/A</v>
      </c>
      <c r="E899" s="452" t="s">
        <v>902</v>
      </c>
      <c r="F899" s="452" t="s">
        <v>1348</v>
      </c>
      <c r="G899" s="452" t="s">
        <v>1158</v>
      </c>
      <c r="H899" s="452" t="s">
        <v>1159</v>
      </c>
      <c r="I899" s="453" t="s">
        <v>844</v>
      </c>
      <c r="J899" s="453">
        <v>1500</v>
      </c>
      <c r="K899" s="461">
        <v>1500</v>
      </c>
      <c r="L899" s="461">
        <v>0</v>
      </c>
      <c r="M899" s="461">
        <v>780</v>
      </c>
      <c r="N899" s="461">
        <v>0</v>
      </c>
      <c r="O899" s="461">
        <v>0</v>
      </c>
      <c r="P899" s="461">
        <v>0</v>
      </c>
      <c r="Q899" s="461">
        <v>0</v>
      </c>
      <c r="R899" s="461">
        <v>0</v>
      </c>
      <c r="S899" s="461">
        <v>0</v>
      </c>
      <c r="T899" s="461">
        <v>0</v>
      </c>
      <c r="U899" s="461">
        <v>0</v>
      </c>
      <c r="V899" s="461">
        <v>0</v>
      </c>
    </row>
    <row r="900" spans="1:22" s="455" customFormat="1" hidden="1">
      <c r="A900" s="455" t="str">
        <f t="shared" ref="A900:A963" si="28">F900&amp;G900</f>
        <v>13209152071011</v>
      </c>
      <c r="B900" s="455">
        <f>VLOOKUP(LEFT($C$3:$C$2600,3),Table!$D$2:$E$88,2,FALSE)</f>
        <v>0</v>
      </c>
      <c r="C900" s="455" t="str">
        <f t="shared" ref="C900:C963" si="29">IF(ISNA(D900),G900,D900)</f>
        <v>9152071011</v>
      </c>
      <c r="D900" s="455" t="e">
        <f>VLOOKUP(G900,Table!$G$3:$H$21,2,FALSE)</f>
        <v>#N/A</v>
      </c>
      <c r="E900" s="452" t="s">
        <v>902</v>
      </c>
      <c r="F900" s="452" t="s">
        <v>1348</v>
      </c>
      <c r="G900" s="452" t="s">
        <v>1336</v>
      </c>
      <c r="H900" s="452" t="s">
        <v>1337</v>
      </c>
      <c r="I900" s="453" t="s">
        <v>844</v>
      </c>
      <c r="J900" s="453">
        <v>7059.5</v>
      </c>
      <c r="K900" s="461">
        <v>530</v>
      </c>
      <c r="L900" s="461">
        <v>6529.5</v>
      </c>
      <c r="M900" s="461">
        <v>0</v>
      </c>
      <c r="N900" s="461">
        <v>0</v>
      </c>
      <c r="O900" s="461">
        <v>0</v>
      </c>
      <c r="P900" s="461">
        <v>0</v>
      </c>
      <c r="Q900" s="461">
        <v>0</v>
      </c>
      <c r="R900" s="461">
        <v>0</v>
      </c>
      <c r="S900" s="461">
        <v>0</v>
      </c>
      <c r="T900" s="461">
        <v>0</v>
      </c>
      <c r="U900" s="461">
        <v>0</v>
      </c>
      <c r="V900" s="461">
        <v>0</v>
      </c>
    </row>
    <row r="901" spans="1:22" s="455" customFormat="1" hidden="1">
      <c r="A901" s="455" t="str">
        <f t="shared" si="28"/>
        <v>13209152071021</v>
      </c>
      <c r="B901" s="455">
        <f>VLOOKUP(LEFT($C$3:$C$2600,3),Table!$D$2:$E$88,2,FALSE)</f>
        <v>0</v>
      </c>
      <c r="C901" s="455" t="str">
        <f t="shared" si="29"/>
        <v>9152071021</v>
      </c>
      <c r="D901" s="455" t="e">
        <f>VLOOKUP(G901,Table!$G$3:$H$21,2,FALSE)</f>
        <v>#N/A</v>
      </c>
      <c r="E901" s="452" t="s">
        <v>902</v>
      </c>
      <c r="F901" s="452" t="s">
        <v>1348</v>
      </c>
      <c r="G901" s="452" t="s">
        <v>2545</v>
      </c>
      <c r="H901" s="452" t="s">
        <v>2546</v>
      </c>
      <c r="I901" s="453" t="s">
        <v>844</v>
      </c>
      <c r="J901" s="453">
        <v>598.4</v>
      </c>
      <c r="K901" s="461">
        <v>0</v>
      </c>
      <c r="L901" s="461">
        <v>0</v>
      </c>
      <c r="M901" s="461">
        <v>12008.4</v>
      </c>
      <c r="N901" s="461">
        <v>0</v>
      </c>
      <c r="O901" s="461">
        <v>0</v>
      </c>
      <c r="P901" s="461">
        <v>0</v>
      </c>
      <c r="Q901" s="461">
        <v>0</v>
      </c>
      <c r="R901" s="461">
        <v>0</v>
      </c>
      <c r="S901" s="461">
        <v>0</v>
      </c>
      <c r="T901" s="461">
        <v>0</v>
      </c>
      <c r="U901" s="461">
        <v>0</v>
      </c>
      <c r="V901" s="461">
        <v>0</v>
      </c>
    </row>
    <row r="902" spans="1:22" s="455" customFormat="1" hidden="1">
      <c r="A902" s="455" t="str">
        <f t="shared" si="28"/>
        <v>13209152071111</v>
      </c>
      <c r="B902" s="455">
        <f>VLOOKUP(LEFT($C$3:$C$2600,3),Table!$D$2:$E$88,2,FALSE)</f>
        <v>0</v>
      </c>
      <c r="C902" s="455" t="str">
        <f t="shared" si="29"/>
        <v>9152071111</v>
      </c>
      <c r="D902" s="455" t="e">
        <f>VLOOKUP(G902,Table!$G$3:$H$21,2,FALSE)</f>
        <v>#N/A</v>
      </c>
      <c r="E902" s="452" t="s">
        <v>902</v>
      </c>
      <c r="F902" s="452" t="s">
        <v>1348</v>
      </c>
      <c r="G902" s="452" t="s">
        <v>1349</v>
      </c>
      <c r="H902" s="452" t="s">
        <v>1350</v>
      </c>
      <c r="I902" s="453" t="s">
        <v>844</v>
      </c>
      <c r="J902" s="453">
        <v>9180</v>
      </c>
      <c r="K902" s="461">
        <v>3010</v>
      </c>
      <c r="L902" s="461">
        <v>3010</v>
      </c>
      <c r="M902" s="461">
        <v>3160</v>
      </c>
      <c r="N902" s="461">
        <v>0</v>
      </c>
      <c r="O902" s="461">
        <v>0</v>
      </c>
      <c r="P902" s="461">
        <v>0</v>
      </c>
      <c r="Q902" s="461">
        <v>0</v>
      </c>
      <c r="R902" s="461">
        <v>0</v>
      </c>
      <c r="S902" s="461">
        <v>0</v>
      </c>
      <c r="T902" s="461">
        <v>0</v>
      </c>
      <c r="U902" s="461">
        <v>0</v>
      </c>
      <c r="V902" s="461">
        <v>0</v>
      </c>
    </row>
    <row r="903" spans="1:22" s="455" customFormat="1" hidden="1">
      <c r="A903" s="455" t="str">
        <f t="shared" si="28"/>
        <v>13209152071211</v>
      </c>
      <c r="B903" s="455">
        <f>VLOOKUP(LEFT($C$3:$C$2600,3),Table!$D$2:$E$88,2,FALSE)</f>
        <v>0</v>
      </c>
      <c r="C903" s="455" t="str">
        <f t="shared" si="29"/>
        <v>9152071211</v>
      </c>
      <c r="D903" s="455" t="e">
        <f>VLOOKUP(G903,Table!$G$3:$H$21,2,FALSE)</f>
        <v>#N/A</v>
      </c>
      <c r="E903" s="452" t="s">
        <v>902</v>
      </c>
      <c r="F903" s="452" t="s">
        <v>1348</v>
      </c>
      <c r="G903" s="452" t="s">
        <v>1351</v>
      </c>
      <c r="H903" s="452" t="s">
        <v>1352</v>
      </c>
      <c r="I903" s="453" t="s">
        <v>844</v>
      </c>
      <c r="J903" s="453">
        <v>0</v>
      </c>
      <c r="K903" s="461">
        <v>0</v>
      </c>
      <c r="L903" s="461">
        <v>1040</v>
      </c>
      <c r="M903" s="461">
        <v>500</v>
      </c>
      <c r="N903" s="461">
        <v>0</v>
      </c>
      <c r="O903" s="461">
        <v>0</v>
      </c>
      <c r="P903" s="461">
        <v>0</v>
      </c>
      <c r="Q903" s="461">
        <v>0</v>
      </c>
      <c r="R903" s="461">
        <v>0</v>
      </c>
      <c r="S903" s="461">
        <v>0</v>
      </c>
      <c r="T903" s="461">
        <v>0</v>
      </c>
      <c r="U903" s="461">
        <v>0</v>
      </c>
      <c r="V903" s="461">
        <v>0</v>
      </c>
    </row>
    <row r="904" spans="1:22" s="455" customFormat="1" hidden="1">
      <c r="A904" s="455" t="str">
        <f t="shared" si="28"/>
        <v>13209152071311</v>
      </c>
      <c r="B904" s="455">
        <f>VLOOKUP(LEFT($C$3:$C$2600,3),Table!$D$2:$E$88,2,FALSE)</f>
        <v>0</v>
      </c>
      <c r="C904" s="455" t="str">
        <f t="shared" si="29"/>
        <v>9152071311</v>
      </c>
      <c r="D904" s="455" t="e">
        <f>VLOOKUP(G904,Table!$G$3:$H$21,2,FALSE)</f>
        <v>#N/A</v>
      </c>
      <c r="E904" s="452" t="s">
        <v>902</v>
      </c>
      <c r="F904" s="452" t="s">
        <v>1348</v>
      </c>
      <c r="G904" s="452" t="s">
        <v>1338</v>
      </c>
      <c r="H904" s="452" t="s">
        <v>1339</v>
      </c>
      <c r="I904" s="453" t="s">
        <v>844</v>
      </c>
      <c r="J904" s="453">
        <v>11460</v>
      </c>
      <c r="K904" s="461">
        <v>3720</v>
      </c>
      <c r="L904" s="461">
        <v>2240</v>
      </c>
      <c r="M904" s="461">
        <v>6000</v>
      </c>
      <c r="N904" s="461">
        <v>0</v>
      </c>
      <c r="O904" s="461">
        <v>0</v>
      </c>
      <c r="P904" s="461">
        <v>0</v>
      </c>
      <c r="Q904" s="461">
        <v>0</v>
      </c>
      <c r="R904" s="461">
        <v>0</v>
      </c>
      <c r="S904" s="461">
        <v>0</v>
      </c>
      <c r="T904" s="461">
        <v>0</v>
      </c>
      <c r="U904" s="461">
        <v>0</v>
      </c>
      <c r="V904" s="461">
        <v>0</v>
      </c>
    </row>
    <row r="905" spans="1:22" s="455" customFormat="1" hidden="1">
      <c r="A905" s="455" t="str">
        <f t="shared" si="28"/>
        <v>13209152090000</v>
      </c>
      <c r="B905" s="455">
        <f>VLOOKUP(LEFT($C$3:$C$2600,3),Table!$D$2:$E$88,2,FALSE)</f>
        <v>0</v>
      </c>
      <c r="C905" s="455" t="str">
        <f t="shared" si="29"/>
        <v>9152090000</v>
      </c>
      <c r="D905" s="455" t="e">
        <f>VLOOKUP(G905,Table!$G$3:$H$21,2,FALSE)</f>
        <v>#N/A</v>
      </c>
      <c r="E905" s="452" t="s">
        <v>902</v>
      </c>
      <c r="F905" s="463" t="s">
        <v>1348</v>
      </c>
      <c r="G905" s="452" t="s">
        <v>1033</v>
      </c>
      <c r="H905" s="452" t="s">
        <v>1034</v>
      </c>
      <c r="I905" s="453" t="s">
        <v>844</v>
      </c>
      <c r="J905" s="453">
        <v>4380</v>
      </c>
      <c r="K905" s="461">
        <v>0</v>
      </c>
      <c r="L905" s="461">
        <v>0</v>
      </c>
      <c r="M905" s="461">
        <v>4380</v>
      </c>
      <c r="N905" s="461">
        <v>0</v>
      </c>
      <c r="O905" s="461">
        <v>0</v>
      </c>
      <c r="P905" s="461">
        <v>0</v>
      </c>
      <c r="Q905" s="461">
        <v>0</v>
      </c>
      <c r="R905" s="461">
        <v>0</v>
      </c>
      <c r="S905" s="461">
        <v>0</v>
      </c>
      <c r="T905" s="461">
        <v>0</v>
      </c>
      <c r="U905" s="461">
        <v>0</v>
      </c>
      <c r="V905" s="461">
        <v>0</v>
      </c>
    </row>
    <row r="906" spans="1:22" s="455" customFormat="1" hidden="1">
      <c r="A906" s="455" t="str">
        <f t="shared" si="28"/>
        <v>14109150801000</v>
      </c>
      <c r="B906" s="455">
        <f>VLOOKUP(LEFT($C$3:$C$2600,3),Table!$D$2:$E$88,2,FALSE)</f>
        <v>0</v>
      </c>
      <c r="C906" s="455" t="str">
        <f t="shared" si="29"/>
        <v>9150801000</v>
      </c>
      <c r="D906" s="455" t="e">
        <f>VLOOKUP(G906,Table!$G$3:$H$21,2,FALSE)</f>
        <v>#N/A</v>
      </c>
      <c r="E906" s="452" t="s">
        <v>902</v>
      </c>
      <c r="F906" s="463" t="s">
        <v>1353</v>
      </c>
      <c r="G906" s="452" t="s">
        <v>993</v>
      </c>
      <c r="H906" s="452" t="s">
        <v>994</v>
      </c>
      <c r="I906" s="453" t="s">
        <v>844</v>
      </c>
      <c r="J906" s="453">
        <v>44190</v>
      </c>
      <c r="K906" s="461">
        <v>14730</v>
      </c>
      <c r="L906" s="461">
        <v>14730</v>
      </c>
      <c r="M906" s="461">
        <v>14730</v>
      </c>
      <c r="N906" s="461">
        <v>0</v>
      </c>
      <c r="O906" s="461">
        <v>0</v>
      </c>
      <c r="P906" s="461">
        <v>0</v>
      </c>
      <c r="Q906" s="461">
        <v>0</v>
      </c>
      <c r="R906" s="461">
        <v>0</v>
      </c>
      <c r="S906" s="461">
        <v>0</v>
      </c>
      <c r="T906" s="461">
        <v>0</v>
      </c>
      <c r="U906" s="461">
        <v>0</v>
      </c>
      <c r="V906" s="461">
        <v>0</v>
      </c>
    </row>
    <row r="907" spans="1:22" s="455" customFormat="1" hidden="1">
      <c r="A907" s="455" t="str">
        <f t="shared" si="28"/>
        <v>14109150801400</v>
      </c>
      <c r="B907" s="455">
        <f>VLOOKUP(LEFT($C$3:$C$2600,3),Table!$D$2:$E$88,2,FALSE)</f>
        <v>0</v>
      </c>
      <c r="C907" s="455" t="str">
        <f t="shared" si="29"/>
        <v>9150801400</v>
      </c>
      <c r="D907" s="455" t="e">
        <f>VLOOKUP(G907,Table!$G$3:$H$21,2,FALSE)</f>
        <v>#N/A</v>
      </c>
      <c r="E907" s="452" t="s">
        <v>902</v>
      </c>
      <c r="F907" s="463" t="s">
        <v>1353</v>
      </c>
      <c r="G907" s="452" t="s">
        <v>997</v>
      </c>
      <c r="H907" s="452" t="s">
        <v>998</v>
      </c>
      <c r="I907" s="453" t="s">
        <v>844</v>
      </c>
      <c r="J907" s="453">
        <v>6319</v>
      </c>
      <c r="K907" s="461">
        <v>2105</v>
      </c>
      <c r="L907" s="461">
        <v>2105</v>
      </c>
      <c r="M907" s="461">
        <v>2109</v>
      </c>
      <c r="N907" s="461">
        <v>0</v>
      </c>
      <c r="O907" s="461">
        <v>0</v>
      </c>
      <c r="P907" s="461">
        <v>0</v>
      </c>
      <c r="Q907" s="461">
        <v>0</v>
      </c>
      <c r="R907" s="461">
        <v>0</v>
      </c>
      <c r="S907" s="461">
        <v>0</v>
      </c>
      <c r="T907" s="461">
        <v>0</v>
      </c>
      <c r="U907" s="461">
        <v>0</v>
      </c>
      <c r="V907" s="461">
        <v>0</v>
      </c>
    </row>
    <row r="908" spans="1:22" s="455" customFormat="1" hidden="1">
      <c r="A908" s="455" t="str">
        <f t="shared" si="28"/>
        <v>14109150801500</v>
      </c>
      <c r="B908" s="455">
        <f>VLOOKUP(LEFT($C$3:$C$2600,3),Table!$D$2:$E$88,2,FALSE)</f>
        <v>0</v>
      </c>
      <c r="C908" s="455" t="str">
        <f t="shared" si="29"/>
        <v>9150801500</v>
      </c>
      <c r="D908" s="455" t="e">
        <f>VLOOKUP(G908,Table!$G$3:$H$21,2,FALSE)</f>
        <v>#N/A</v>
      </c>
      <c r="E908" s="452" t="s">
        <v>902</v>
      </c>
      <c r="F908" s="463" t="s">
        <v>1353</v>
      </c>
      <c r="G908" s="452" t="s">
        <v>999</v>
      </c>
      <c r="H908" s="452" t="s">
        <v>1000</v>
      </c>
      <c r="I908" s="453" t="s">
        <v>844</v>
      </c>
      <c r="J908" s="453">
        <v>619.79999999999995</v>
      </c>
      <c r="K908" s="461">
        <v>206.6</v>
      </c>
      <c r="L908" s="461">
        <v>206.6</v>
      </c>
      <c r="M908" s="461">
        <v>206.6</v>
      </c>
      <c r="N908" s="461">
        <v>0</v>
      </c>
      <c r="O908" s="461">
        <v>0</v>
      </c>
      <c r="P908" s="461">
        <v>0</v>
      </c>
      <c r="Q908" s="461">
        <v>0</v>
      </c>
      <c r="R908" s="461">
        <v>0</v>
      </c>
      <c r="S908" s="461">
        <v>0</v>
      </c>
      <c r="T908" s="461">
        <v>0</v>
      </c>
      <c r="U908" s="461">
        <v>0</v>
      </c>
      <c r="V908" s="461">
        <v>0</v>
      </c>
    </row>
    <row r="909" spans="1:22" s="455" customFormat="1" hidden="1">
      <c r="A909" s="455" t="str">
        <f t="shared" si="28"/>
        <v>14109150801600</v>
      </c>
      <c r="B909" s="455">
        <f>VLOOKUP(LEFT($C$3:$C$2600,3),Table!$D$2:$E$88,2,FALSE)</f>
        <v>0</v>
      </c>
      <c r="C909" s="455" t="str">
        <f t="shared" si="29"/>
        <v>9150801600</v>
      </c>
      <c r="D909" s="455" t="e">
        <f>VLOOKUP(G909,Table!$G$3:$H$21,2,FALSE)</f>
        <v>#N/A</v>
      </c>
      <c r="E909" s="452" t="s">
        <v>902</v>
      </c>
      <c r="F909" s="452" t="s">
        <v>1353</v>
      </c>
      <c r="G909" s="452" t="s">
        <v>1001</v>
      </c>
      <c r="H909" s="452" t="s">
        <v>1002</v>
      </c>
      <c r="I909" s="453" t="s">
        <v>844</v>
      </c>
      <c r="J909" s="453">
        <v>8001</v>
      </c>
      <c r="K909" s="461">
        <v>2667</v>
      </c>
      <c r="L909" s="461">
        <v>2667</v>
      </c>
      <c r="M909" s="461">
        <v>2667</v>
      </c>
      <c r="N909" s="461">
        <v>0</v>
      </c>
      <c r="O909" s="461">
        <v>0</v>
      </c>
      <c r="P909" s="461">
        <v>0</v>
      </c>
      <c r="Q909" s="461">
        <v>0</v>
      </c>
      <c r="R909" s="461">
        <v>0</v>
      </c>
      <c r="S909" s="461">
        <v>0</v>
      </c>
      <c r="T909" s="461">
        <v>0</v>
      </c>
      <c r="U909" s="461">
        <v>0</v>
      </c>
      <c r="V909" s="461">
        <v>0</v>
      </c>
    </row>
    <row r="910" spans="1:22" s="455" customFormat="1" hidden="1">
      <c r="A910" s="455" t="str">
        <f t="shared" si="28"/>
        <v>14109150801800</v>
      </c>
      <c r="B910" s="455">
        <f>VLOOKUP(LEFT($C$3:$C$2600,3),Table!$D$2:$E$88,2,FALSE)</f>
        <v>0</v>
      </c>
      <c r="C910" s="455" t="str">
        <f t="shared" si="29"/>
        <v>9150801800</v>
      </c>
      <c r="D910" s="455" t="e">
        <f>VLOOKUP(G910,Table!$G$3:$H$21,2,FALSE)</f>
        <v>#N/A</v>
      </c>
      <c r="E910" s="452" t="s">
        <v>902</v>
      </c>
      <c r="F910" s="452" t="s">
        <v>1353</v>
      </c>
      <c r="G910" s="452" t="s">
        <v>1004</v>
      </c>
      <c r="H910" s="452" t="s">
        <v>1005</v>
      </c>
      <c r="I910" s="453" t="s">
        <v>844</v>
      </c>
      <c r="J910" s="453">
        <v>312</v>
      </c>
      <c r="K910" s="461">
        <v>132</v>
      </c>
      <c r="L910" s="461">
        <v>90</v>
      </c>
      <c r="M910" s="461">
        <v>90</v>
      </c>
      <c r="N910" s="461">
        <v>0</v>
      </c>
      <c r="O910" s="461">
        <v>0</v>
      </c>
      <c r="P910" s="461">
        <v>0</v>
      </c>
      <c r="Q910" s="461">
        <v>0</v>
      </c>
      <c r="R910" s="461">
        <v>0</v>
      </c>
      <c r="S910" s="461">
        <v>0</v>
      </c>
      <c r="T910" s="461">
        <v>0</v>
      </c>
      <c r="U910" s="461">
        <v>0</v>
      </c>
      <c r="V910" s="461">
        <v>0</v>
      </c>
    </row>
    <row r="911" spans="1:22" s="455" customFormat="1" hidden="1">
      <c r="A911" s="455" t="str">
        <f t="shared" si="28"/>
        <v>14109150801900</v>
      </c>
      <c r="B911" s="455">
        <f>VLOOKUP(LEFT($C$3:$C$2600,3),Table!$D$2:$E$88,2,FALSE)</f>
        <v>0</v>
      </c>
      <c r="C911" s="455" t="str">
        <f t="shared" si="29"/>
        <v>9150801900</v>
      </c>
      <c r="D911" s="455" t="e">
        <f>VLOOKUP(G911,Table!$G$3:$H$21,2,FALSE)</f>
        <v>#N/A</v>
      </c>
      <c r="E911" s="452" t="s">
        <v>902</v>
      </c>
      <c r="F911" s="452" t="s">
        <v>1353</v>
      </c>
      <c r="G911" s="452" t="s">
        <v>1006</v>
      </c>
      <c r="H911" s="452" t="s">
        <v>1007</v>
      </c>
      <c r="I911" s="453" t="s">
        <v>844</v>
      </c>
      <c r="J911" s="453">
        <v>342.9</v>
      </c>
      <c r="K911" s="461">
        <v>114.3</v>
      </c>
      <c r="L911" s="461">
        <v>114.3</v>
      </c>
      <c r="M911" s="461">
        <v>114.3</v>
      </c>
      <c r="N911" s="461">
        <v>0</v>
      </c>
      <c r="O911" s="461">
        <v>0</v>
      </c>
      <c r="P911" s="461">
        <v>0</v>
      </c>
      <c r="Q911" s="461">
        <v>0</v>
      </c>
      <c r="R911" s="461">
        <v>0</v>
      </c>
      <c r="S911" s="461">
        <v>0</v>
      </c>
      <c r="T911" s="461">
        <v>0</v>
      </c>
      <c r="U911" s="461">
        <v>0</v>
      </c>
      <c r="V911" s="461">
        <v>0</v>
      </c>
    </row>
    <row r="912" spans="1:22" s="455" customFormat="1" hidden="1">
      <c r="A912" s="455" t="str">
        <f t="shared" si="28"/>
        <v>14109151001100</v>
      </c>
      <c r="B912" s="455">
        <f>VLOOKUP(LEFT($C$3:$C$2600,3),Table!$D$2:$E$88,2,FALSE)</f>
        <v>0</v>
      </c>
      <c r="C912" s="455" t="str">
        <f t="shared" si="29"/>
        <v>9151001100</v>
      </c>
      <c r="D912" s="455" t="e">
        <f>VLOOKUP(G912,Table!$G$3:$H$21,2,FALSE)</f>
        <v>#N/A</v>
      </c>
      <c r="E912" s="452" t="s">
        <v>902</v>
      </c>
      <c r="F912" s="452" t="s">
        <v>1353</v>
      </c>
      <c r="G912" s="452" t="s">
        <v>1130</v>
      </c>
      <c r="H912" s="452" t="s">
        <v>1131</v>
      </c>
      <c r="I912" s="453" t="s">
        <v>844</v>
      </c>
      <c r="J912" s="453">
        <v>-127.82</v>
      </c>
      <c r="K912" s="461">
        <v>-127.82</v>
      </c>
      <c r="L912" s="461">
        <v>0</v>
      </c>
      <c r="M912" s="461">
        <v>0</v>
      </c>
      <c r="N912" s="461">
        <v>0</v>
      </c>
      <c r="O912" s="461">
        <v>0</v>
      </c>
      <c r="P912" s="461">
        <v>0</v>
      </c>
      <c r="Q912" s="461">
        <v>0</v>
      </c>
      <c r="R912" s="461">
        <v>0</v>
      </c>
      <c r="S912" s="461">
        <v>0</v>
      </c>
      <c r="T912" s="461">
        <v>0</v>
      </c>
      <c r="U912" s="461">
        <v>0</v>
      </c>
      <c r="V912" s="461">
        <v>0</v>
      </c>
    </row>
    <row r="913" spans="1:22" s="455" customFormat="1" hidden="1">
      <c r="A913" s="455" t="str">
        <f t="shared" si="28"/>
        <v>14109151001700</v>
      </c>
      <c r="B913" s="455">
        <f>VLOOKUP(LEFT($C$3:$C$2600,3),Table!$D$2:$E$88,2,FALSE)</f>
        <v>0</v>
      </c>
      <c r="C913" s="455" t="str">
        <f t="shared" si="29"/>
        <v>9151001700</v>
      </c>
      <c r="D913" s="455" t="e">
        <f>VLOOKUP(G913,Table!$G$3:$H$21,2,FALSE)</f>
        <v>#N/A</v>
      </c>
      <c r="E913" s="452" t="s">
        <v>902</v>
      </c>
      <c r="F913" s="452" t="s">
        <v>1353</v>
      </c>
      <c r="G913" s="452" t="s">
        <v>1138</v>
      </c>
      <c r="H913" s="452" t="s">
        <v>1313</v>
      </c>
      <c r="I913" s="453" t="s">
        <v>844</v>
      </c>
      <c r="J913" s="453">
        <v>-5754.38</v>
      </c>
      <c r="K913" s="461">
        <v>-5754.38</v>
      </c>
      <c r="L913" s="461">
        <v>0</v>
      </c>
      <c r="M913" s="461">
        <v>0</v>
      </c>
      <c r="N913" s="461">
        <v>0</v>
      </c>
      <c r="O913" s="461">
        <v>0</v>
      </c>
      <c r="P913" s="461">
        <v>0</v>
      </c>
      <c r="Q913" s="461">
        <v>0</v>
      </c>
      <c r="R913" s="461">
        <v>0</v>
      </c>
      <c r="S913" s="461">
        <v>0</v>
      </c>
      <c r="T913" s="461">
        <v>0</v>
      </c>
      <c r="U913" s="461">
        <v>0</v>
      </c>
      <c r="V913" s="461">
        <v>0</v>
      </c>
    </row>
    <row r="914" spans="1:22" s="455" customFormat="1" hidden="1">
      <c r="A914" s="455" t="str">
        <f t="shared" si="28"/>
        <v>14109151302500</v>
      </c>
      <c r="B914" s="455">
        <f>VLOOKUP(LEFT($C$3:$C$2600,3),Table!$D$2:$E$88,2,FALSE)</f>
        <v>0</v>
      </c>
      <c r="C914" s="455" t="str">
        <f t="shared" si="29"/>
        <v>9151302500</v>
      </c>
      <c r="D914" s="455" t="e">
        <f>VLOOKUP(G914,Table!$G$3:$H$21,2,FALSE)</f>
        <v>#N/A</v>
      </c>
      <c r="E914" s="452" t="s">
        <v>902</v>
      </c>
      <c r="F914" s="452" t="s">
        <v>1353</v>
      </c>
      <c r="G914" s="452" t="s">
        <v>1154</v>
      </c>
      <c r="H914" s="452" t="s">
        <v>1155</v>
      </c>
      <c r="I914" s="453" t="s">
        <v>844</v>
      </c>
      <c r="J914" s="453">
        <v>1230</v>
      </c>
      <c r="K914" s="461">
        <v>1230</v>
      </c>
      <c r="L914" s="461">
        <v>0</v>
      </c>
      <c r="M914" s="461">
        <v>0</v>
      </c>
      <c r="N914" s="461">
        <v>0</v>
      </c>
      <c r="O914" s="461">
        <v>0</v>
      </c>
      <c r="P914" s="461">
        <v>0</v>
      </c>
      <c r="Q914" s="461">
        <v>0</v>
      </c>
      <c r="R914" s="461">
        <v>0</v>
      </c>
      <c r="S914" s="461">
        <v>0</v>
      </c>
      <c r="T914" s="461">
        <v>0</v>
      </c>
      <c r="U914" s="461">
        <v>0</v>
      </c>
      <c r="V914" s="461">
        <v>0</v>
      </c>
    </row>
    <row r="915" spans="1:22" s="455" customFormat="1" hidden="1">
      <c r="A915" s="455" t="str">
        <f t="shared" si="28"/>
        <v>14109151501100</v>
      </c>
      <c r="B915" s="455">
        <f>VLOOKUP(LEFT($C$3:$C$2600,3),Table!$D$2:$E$88,2,FALSE)</f>
        <v>0</v>
      </c>
      <c r="C915" s="455" t="str">
        <f t="shared" si="29"/>
        <v>9151501100</v>
      </c>
      <c r="D915" s="455" t="e">
        <f>VLOOKUP(G915,Table!$G$3:$H$21,2,FALSE)</f>
        <v>#N/A</v>
      </c>
      <c r="E915" s="452" t="s">
        <v>902</v>
      </c>
      <c r="F915" s="452" t="s">
        <v>1353</v>
      </c>
      <c r="G915" s="452" t="s">
        <v>1009</v>
      </c>
      <c r="H915" s="452" t="s">
        <v>1010</v>
      </c>
      <c r="I915" s="453" t="s">
        <v>844</v>
      </c>
      <c r="J915" s="453">
        <v>600</v>
      </c>
      <c r="K915" s="461">
        <v>390</v>
      </c>
      <c r="L915" s="461">
        <v>90</v>
      </c>
      <c r="M915" s="461">
        <v>120</v>
      </c>
      <c r="N915" s="461">
        <v>0</v>
      </c>
      <c r="O915" s="461">
        <v>0</v>
      </c>
      <c r="P915" s="461">
        <v>0</v>
      </c>
      <c r="Q915" s="461">
        <v>0</v>
      </c>
      <c r="R915" s="461">
        <v>0</v>
      </c>
      <c r="S915" s="461">
        <v>0</v>
      </c>
      <c r="T915" s="461">
        <v>0</v>
      </c>
      <c r="U915" s="461">
        <v>0</v>
      </c>
      <c r="V915" s="461">
        <v>0</v>
      </c>
    </row>
    <row r="916" spans="1:22" s="455" customFormat="1" hidden="1">
      <c r="A916" s="455" t="str">
        <f t="shared" si="28"/>
        <v>14109151501400</v>
      </c>
      <c r="B916" s="455">
        <f>VLOOKUP(LEFT($C$3:$C$2600,3),Table!$D$2:$E$88,2,FALSE)</f>
        <v>0</v>
      </c>
      <c r="C916" s="455" t="str">
        <f t="shared" si="29"/>
        <v>9151501400</v>
      </c>
      <c r="D916" s="455" t="e">
        <f>VLOOKUP(G916,Table!$G$3:$H$21,2,FALSE)</f>
        <v>#N/A</v>
      </c>
      <c r="E916" s="452" t="s">
        <v>902</v>
      </c>
      <c r="F916" s="452" t="s">
        <v>1353</v>
      </c>
      <c r="G916" s="452" t="s">
        <v>1011</v>
      </c>
      <c r="H916" s="452" t="s">
        <v>1012</v>
      </c>
      <c r="I916" s="453" t="s">
        <v>844</v>
      </c>
      <c r="J916" s="453">
        <v>83.4</v>
      </c>
      <c r="K916" s="461">
        <v>75</v>
      </c>
      <c r="L916" s="461">
        <v>3.6</v>
      </c>
      <c r="M916" s="461">
        <v>4.8</v>
      </c>
      <c r="N916" s="461">
        <v>0</v>
      </c>
      <c r="O916" s="461">
        <v>0</v>
      </c>
      <c r="P916" s="461">
        <v>0</v>
      </c>
      <c r="Q916" s="461">
        <v>0</v>
      </c>
      <c r="R916" s="461">
        <v>0</v>
      </c>
      <c r="S916" s="461">
        <v>0</v>
      </c>
      <c r="T916" s="461">
        <v>0</v>
      </c>
      <c r="U916" s="461">
        <v>0</v>
      </c>
      <c r="V916" s="461">
        <v>0</v>
      </c>
    </row>
    <row r="917" spans="1:22" s="455" customFormat="1" hidden="1">
      <c r="A917" s="455" t="str">
        <f t="shared" si="28"/>
        <v>14109151601001</v>
      </c>
      <c r="B917" s="455">
        <f>VLOOKUP(LEFT($C$3:$C$2600,3),Table!$D$2:$E$88,2,FALSE)</f>
        <v>0</v>
      </c>
      <c r="C917" s="455" t="str">
        <f t="shared" si="29"/>
        <v>9151601001</v>
      </c>
      <c r="D917" s="455" t="e">
        <f>VLOOKUP(G917,Table!$G$3:$H$21,2,FALSE)</f>
        <v>#N/A</v>
      </c>
      <c r="E917" s="452" t="s">
        <v>902</v>
      </c>
      <c r="F917" s="452" t="s">
        <v>1353</v>
      </c>
      <c r="G917" s="452" t="s">
        <v>1015</v>
      </c>
      <c r="H917" s="452" t="s">
        <v>1016</v>
      </c>
      <c r="I917" s="453" t="s">
        <v>844</v>
      </c>
      <c r="J917" s="453">
        <v>60</v>
      </c>
      <c r="K917" s="461">
        <v>0</v>
      </c>
      <c r="L917" s="461">
        <v>30</v>
      </c>
      <c r="M917" s="461">
        <v>30</v>
      </c>
      <c r="N917" s="461">
        <v>0</v>
      </c>
      <c r="O917" s="461">
        <v>0</v>
      </c>
      <c r="P917" s="461">
        <v>0</v>
      </c>
      <c r="Q917" s="461">
        <v>0</v>
      </c>
      <c r="R917" s="461">
        <v>0</v>
      </c>
      <c r="S917" s="461">
        <v>0</v>
      </c>
      <c r="T917" s="461">
        <v>0</v>
      </c>
      <c r="U917" s="461">
        <v>0</v>
      </c>
      <c r="V917" s="461">
        <v>0</v>
      </c>
    </row>
    <row r="918" spans="1:22" s="455" customFormat="1" hidden="1">
      <c r="A918" s="455" t="str">
        <f t="shared" si="28"/>
        <v>14109151801100</v>
      </c>
      <c r="B918" s="455">
        <f>VLOOKUP(LEFT($C$3:$C$2600,3),Table!$D$2:$E$88,2,FALSE)</f>
        <v>0</v>
      </c>
      <c r="C918" s="455" t="str">
        <f t="shared" si="29"/>
        <v>9151801100</v>
      </c>
      <c r="D918" s="455" t="e">
        <f>VLOOKUP(G918,Table!$G$3:$H$21,2,FALSE)</f>
        <v>#N/A</v>
      </c>
      <c r="E918" s="452" t="s">
        <v>902</v>
      </c>
      <c r="F918" s="452" t="s">
        <v>1353</v>
      </c>
      <c r="G918" s="452" t="s">
        <v>1017</v>
      </c>
      <c r="H918" s="452" t="s">
        <v>1018</v>
      </c>
      <c r="I918" s="453" t="s">
        <v>844</v>
      </c>
      <c r="J918" s="453">
        <v>1659.86</v>
      </c>
      <c r="K918" s="461">
        <v>129.96</v>
      </c>
      <c r="L918" s="461">
        <v>1193.5999999999999</v>
      </c>
      <c r="M918" s="461">
        <v>363.2</v>
      </c>
      <c r="N918" s="461">
        <v>0</v>
      </c>
      <c r="O918" s="461">
        <v>0</v>
      </c>
      <c r="P918" s="461">
        <v>0</v>
      </c>
      <c r="Q918" s="461">
        <v>0</v>
      </c>
      <c r="R918" s="461">
        <v>0</v>
      </c>
      <c r="S918" s="461">
        <v>0</v>
      </c>
      <c r="T918" s="461">
        <v>0</v>
      </c>
      <c r="U918" s="461">
        <v>0</v>
      </c>
      <c r="V918" s="461">
        <v>0</v>
      </c>
    </row>
    <row r="919" spans="1:22" s="455" customFormat="1" hidden="1">
      <c r="A919" s="455" t="str">
        <f t="shared" si="28"/>
        <v>14109151801200</v>
      </c>
      <c r="B919" s="455">
        <f>VLOOKUP(LEFT($C$3:$C$2600,3),Table!$D$2:$E$88,2,FALSE)</f>
        <v>0</v>
      </c>
      <c r="C919" s="455" t="str">
        <f t="shared" si="29"/>
        <v>9151801200</v>
      </c>
      <c r="D919" s="455" t="e">
        <f>VLOOKUP(G919,Table!$G$3:$H$21,2,FALSE)</f>
        <v>#N/A</v>
      </c>
      <c r="E919" s="452" t="s">
        <v>902</v>
      </c>
      <c r="F919" s="452" t="s">
        <v>1353</v>
      </c>
      <c r="G919" s="452" t="s">
        <v>1332</v>
      </c>
      <c r="H919" s="452" t="s">
        <v>1333</v>
      </c>
      <c r="I919" s="453" t="s">
        <v>844</v>
      </c>
      <c r="J919" s="453">
        <v>1104.25</v>
      </c>
      <c r="K919" s="461">
        <v>776.25</v>
      </c>
      <c r="L919" s="461">
        <v>359</v>
      </c>
      <c r="M919" s="461">
        <v>359</v>
      </c>
      <c r="N919" s="461">
        <v>0</v>
      </c>
      <c r="O919" s="461">
        <v>0</v>
      </c>
      <c r="P919" s="461">
        <v>0</v>
      </c>
      <c r="Q919" s="461">
        <v>0</v>
      </c>
      <c r="R919" s="461">
        <v>0</v>
      </c>
      <c r="S919" s="461">
        <v>0</v>
      </c>
      <c r="T919" s="461">
        <v>0</v>
      </c>
      <c r="U919" s="461">
        <v>0</v>
      </c>
      <c r="V919" s="461">
        <v>0</v>
      </c>
    </row>
    <row r="920" spans="1:22" s="455" customFormat="1" hidden="1">
      <c r="A920" s="455" t="str">
        <f t="shared" si="28"/>
        <v>14109152801000</v>
      </c>
      <c r="B920" s="455">
        <f>VLOOKUP(LEFT($C$3:$C$2600,3),Table!$D$2:$E$88,2,FALSE)</f>
        <v>0</v>
      </c>
      <c r="C920" s="455" t="str">
        <f t="shared" si="29"/>
        <v>9152801000</v>
      </c>
      <c r="D920" s="455" t="e">
        <f>VLOOKUP(G920,Table!$G$3:$H$21,2,FALSE)</f>
        <v>#N/A</v>
      </c>
      <c r="E920" s="452" t="s">
        <v>902</v>
      </c>
      <c r="F920" s="452" t="s">
        <v>1353</v>
      </c>
      <c r="G920" s="452" t="s">
        <v>1041</v>
      </c>
      <c r="H920" s="452" t="s">
        <v>1042</v>
      </c>
      <c r="I920" s="453" t="s">
        <v>844</v>
      </c>
      <c r="J920" s="453">
        <v>64.2</v>
      </c>
      <c r="K920" s="461">
        <v>64.2</v>
      </c>
      <c r="L920" s="461">
        <v>0</v>
      </c>
      <c r="M920" s="461">
        <v>0</v>
      </c>
      <c r="N920" s="461">
        <v>0</v>
      </c>
      <c r="O920" s="461">
        <v>0</v>
      </c>
      <c r="P920" s="461">
        <v>0</v>
      </c>
      <c r="Q920" s="461">
        <v>0</v>
      </c>
      <c r="R920" s="461">
        <v>0</v>
      </c>
      <c r="S920" s="461">
        <v>0</v>
      </c>
      <c r="T920" s="461">
        <v>0</v>
      </c>
      <c r="U920" s="461">
        <v>0</v>
      </c>
      <c r="V920" s="461">
        <v>0</v>
      </c>
    </row>
    <row r="921" spans="1:22" s="455" customFormat="1" hidden="1">
      <c r="A921" s="455" t="str">
        <f t="shared" si="28"/>
        <v>14109153001400</v>
      </c>
      <c r="B921" s="455">
        <f>VLOOKUP(LEFT($C$3:$C$2600,3),Table!$D$2:$E$88,2,FALSE)</f>
        <v>0</v>
      </c>
      <c r="C921" s="455" t="str">
        <f t="shared" si="29"/>
        <v>9153001400</v>
      </c>
      <c r="D921" s="455" t="e">
        <f>VLOOKUP(G921,Table!$G$3:$H$21,2,FALSE)</f>
        <v>#N/A</v>
      </c>
      <c r="E921" s="452" t="s">
        <v>902</v>
      </c>
      <c r="F921" s="452" t="s">
        <v>1353</v>
      </c>
      <c r="G921" s="452" t="s">
        <v>1354</v>
      </c>
      <c r="H921" s="452" t="s">
        <v>1355</v>
      </c>
      <c r="I921" s="453" t="s">
        <v>844</v>
      </c>
      <c r="J921" s="453">
        <v>2124</v>
      </c>
      <c r="K921" s="461">
        <v>708</v>
      </c>
      <c r="L921" s="461">
        <v>708</v>
      </c>
      <c r="M921" s="461">
        <v>708</v>
      </c>
      <c r="N921" s="461">
        <v>0</v>
      </c>
      <c r="O921" s="461">
        <v>0</v>
      </c>
      <c r="P921" s="461">
        <v>0</v>
      </c>
      <c r="Q921" s="461">
        <v>0</v>
      </c>
      <c r="R921" s="461">
        <v>0</v>
      </c>
      <c r="S921" s="461">
        <v>0</v>
      </c>
      <c r="T921" s="461">
        <v>0</v>
      </c>
      <c r="U921" s="461">
        <v>0</v>
      </c>
      <c r="V921" s="461">
        <v>0</v>
      </c>
    </row>
    <row r="922" spans="1:22" s="455" customFormat="1" hidden="1">
      <c r="A922" s="455" t="str">
        <f t="shared" si="28"/>
        <v>14209151201000</v>
      </c>
      <c r="B922" s="455">
        <f>VLOOKUP(LEFT($C$3:$C$2600,3),Table!$D$2:$E$88,2,FALSE)</f>
        <v>0</v>
      </c>
      <c r="C922" s="455" t="str">
        <f t="shared" si="29"/>
        <v>9151201000</v>
      </c>
      <c r="D922" s="455" t="e">
        <f>VLOOKUP(G922,Table!$G$3:$H$21,2,FALSE)</f>
        <v>#N/A</v>
      </c>
      <c r="E922" s="452" t="s">
        <v>902</v>
      </c>
      <c r="F922" s="452" t="s">
        <v>1356</v>
      </c>
      <c r="G922" s="452" t="s">
        <v>1326</v>
      </c>
      <c r="H922" s="452" t="s">
        <v>1327</v>
      </c>
      <c r="I922" s="453" t="s">
        <v>844</v>
      </c>
      <c r="J922" s="453">
        <v>3589</v>
      </c>
      <c r="K922" s="461">
        <v>1146</v>
      </c>
      <c r="L922" s="461">
        <v>1151</v>
      </c>
      <c r="M922" s="461">
        <v>1292</v>
      </c>
      <c r="N922" s="461">
        <v>0</v>
      </c>
      <c r="O922" s="461">
        <v>0</v>
      </c>
      <c r="P922" s="461">
        <v>0</v>
      </c>
      <c r="Q922" s="461">
        <v>0</v>
      </c>
      <c r="R922" s="461">
        <v>0</v>
      </c>
      <c r="S922" s="461">
        <v>0</v>
      </c>
      <c r="T922" s="461">
        <v>0</v>
      </c>
      <c r="U922" s="461">
        <v>0</v>
      </c>
      <c r="V922" s="461">
        <v>0</v>
      </c>
    </row>
    <row r="923" spans="1:22" s="455" customFormat="1" hidden="1">
      <c r="A923" s="455" t="str">
        <f t="shared" si="28"/>
        <v>14209151302500</v>
      </c>
      <c r="B923" s="455">
        <f>VLOOKUP(LEFT($C$3:$C$2600,3),Table!$D$2:$E$88,2,FALSE)</f>
        <v>0</v>
      </c>
      <c r="C923" s="455" t="str">
        <f t="shared" si="29"/>
        <v>9151302500</v>
      </c>
      <c r="D923" s="455" t="e">
        <f>VLOOKUP(G923,Table!$G$3:$H$21,2,FALSE)</f>
        <v>#N/A</v>
      </c>
      <c r="E923" s="452" t="s">
        <v>902</v>
      </c>
      <c r="F923" s="452" t="s">
        <v>1356</v>
      </c>
      <c r="G923" s="452" t="s">
        <v>1154</v>
      </c>
      <c r="H923" s="452" t="s">
        <v>1155</v>
      </c>
      <c r="I923" s="453" t="s">
        <v>844</v>
      </c>
      <c r="J923" s="453">
        <v>4325</v>
      </c>
      <c r="K923" s="461">
        <v>520</v>
      </c>
      <c r="L923" s="461">
        <v>1350</v>
      </c>
      <c r="M923" s="461">
        <v>2455</v>
      </c>
      <c r="N923" s="461">
        <v>0</v>
      </c>
      <c r="O923" s="461">
        <v>0</v>
      </c>
      <c r="P923" s="461">
        <v>0</v>
      </c>
      <c r="Q923" s="461">
        <v>0</v>
      </c>
      <c r="R923" s="461">
        <v>0</v>
      </c>
      <c r="S923" s="461">
        <v>0</v>
      </c>
      <c r="T923" s="461">
        <v>0</v>
      </c>
      <c r="U923" s="461">
        <v>0</v>
      </c>
      <c r="V923" s="461">
        <v>0</v>
      </c>
    </row>
    <row r="924" spans="1:22" s="455" customFormat="1" hidden="1">
      <c r="A924" s="455" t="str">
        <f t="shared" si="28"/>
        <v>14209152025111</v>
      </c>
      <c r="B924" s="455">
        <f>VLOOKUP(LEFT($C$3:$C$2600,3),Table!$D$2:$E$88,2,FALSE)</f>
        <v>0</v>
      </c>
      <c r="C924" s="455" t="str">
        <f t="shared" si="29"/>
        <v>9152025111</v>
      </c>
      <c r="D924" s="455" t="e">
        <f>VLOOKUP(G924,Table!$G$3:$H$21,2,FALSE)</f>
        <v>#N/A</v>
      </c>
      <c r="E924" s="452" t="s">
        <v>902</v>
      </c>
      <c r="F924" s="452" t="s">
        <v>1356</v>
      </c>
      <c r="G924" s="452" t="s">
        <v>1334</v>
      </c>
      <c r="H924" s="452" t="s">
        <v>1335</v>
      </c>
      <c r="I924" s="453" t="s">
        <v>844</v>
      </c>
      <c r="J924" s="453">
        <v>7784</v>
      </c>
      <c r="K924" s="461">
        <v>5034</v>
      </c>
      <c r="L924" s="461">
        <v>7403</v>
      </c>
      <c r="M924" s="461">
        <v>1640</v>
      </c>
      <c r="N924" s="461">
        <v>0</v>
      </c>
      <c r="O924" s="461">
        <v>0</v>
      </c>
      <c r="P924" s="461">
        <v>0</v>
      </c>
      <c r="Q924" s="461">
        <v>0</v>
      </c>
      <c r="R924" s="461">
        <v>0</v>
      </c>
      <c r="S924" s="461">
        <v>0</v>
      </c>
      <c r="T924" s="461">
        <v>0</v>
      </c>
      <c r="U924" s="461">
        <v>0</v>
      </c>
      <c r="V924" s="461">
        <v>0</v>
      </c>
    </row>
    <row r="925" spans="1:22" s="455" customFormat="1" hidden="1">
      <c r="A925" s="455" t="str">
        <f t="shared" si="28"/>
        <v>14209152040011</v>
      </c>
      <c r="B925" s="455">
        <f>VLOOKUP(LEFT($C$3:$C$2600,3),Table!$D$2:$E$88,2,FALSE)</f>
        <v>0</v>
      </c>
      <c r="C925" s="455" t="str">
        <f t="shared" si="29"/>
        <v>9152040011</v>
      </c>
      <c r="D925" s="455" t="e">
        <f>VLOOKUP(G925,Table!$G$3:$H$21,2,FALSE)</f>
        <v>#N/A</v>
      </c>
      <c r="E925" s="452" t="s">
        <v>902</v>
      </c>
      <c r="F925" s="452" t="s">
        <v>1356</v>
      </c>
      <c r="G925" s="452" t="s">
        <v>1357</v>
      </c>
      <c r="H925" s="452" t="s">
        <v>1358</v>
      </c>
      <c r="I925" s="453" t="s">
        <v>844</v>
      </c>
      <c r="J925" s="453">
        <v>4565</v>
      </c>
      <c r="K925" s="461">
        <v>0</v>
      </c>
      <c r="L925" s="461">
        <v>4305</v>
      </c>
      <c r="M925" s="461">
        <v>260</v>
      </c>
      <c r="N925" s="461">
        <v>0</v>
      </c>
      <c r="O925" s="461">
        <v>0</v>
      </c>
      <c r="P925" s="461">
        <v>0</v>
      </c>
      <c r="Q925" s="461">
        <v>0</v>
      </c>
      <c r="R925" s="461">
        <v>0</v>
      </c>
      <c r="S925" s="461">
        <v>0</v>
      </c>
      <c r="T925" s="461">
        <v>0</v>
      </c>
      <c r="U925" s="461">
        <v>0</v>
      </c>
      <c r="V925" s="461">
        <v>0</v>
      </c>
    </row>
    <row r="926" spans="1:22" s="455" customFormat="1" hidden="1">
      <c r="A926" s="455" t="str">
        <f t="shared" si="28"/>
        <v>14209152040021</v>
      </c>
      <c r="B926" s="455">
        <f>VLOOKUP(LEFT($C$3:$C$2600,3),Table!$D$2:$E$88,2,FALSE)</f>
        <v>0</v>
      </c>
      <c r="C926" s="455" t="str">
        <f t="shared" si="29"/>
        <v>9152040021</v>
      </c>
      <c r="D926" s="455" t="e">
        <f>VLOOKUP(G926,Table!$G$3:$H$21,2,FALSE)</f>
        <v>#N/A</v>
      </c>
      <c r="E926" s="452" t="s">
        <v>902</v>
      </c>
      <c r="F926" s="452" t="s">
        <v>1356</v>
      </c>
      <c r="G926" s="452" t="s">
        <v>1359</v>
      </c>
      <c r="H926" s="452" t="s">
        <v>1360</v>
      </c>
      <c r="I926" s="453" t="s">
        <v>844</v>
      </c>
      <c r="J926" s="453">
        <v>3935</v>
      </c>
      <c r="K926" s="461">
        <v>1155</v>
      </c>
      <c r="L926" s="461">
        <v>3270</v>
      </c>
      <c r="M926" s="461">
        <v>0</v>
      </c>
      <c r="N926" s="461">
        <v>0</v>
      </c>
      <c r="O926" s="461">
        <v>0</v>
      </c>
      <c r="P926" s="461">
        <v>0</v>
      </c>
      <c r="Q926" s="461">
        <v>0</v>
      </c>
      <c r="R926" s="461">
        <v>0</v>
      </c>
      <c r="S926" s="461">
        <v>0</v>
      </c>
      <c r="T926" s="461">
        <v>0</v>
      </c>
      <c r="U926" s="461">
        <v>0</v>
      </c>
      <c r="V926" s="461">
        <v>0</v>
      </c>
    </row>
    <row r="927" spans="1:22" s="455" customFormat="1" hidden="1">
      <c r="A927" s="455" t="str">
        <f t="shared" si="28"/>
        <v>14209152040111</v>
      </c>
      <c r="B927" s="455">
        <f>VLOOKUP(LEFT($C$3:$C$2600,3),Table!$D$2:$E$88,2,FALSE)</f>
        <v>0</v>
      </c>
      <c r="C927" s="455" t="str">
        <f t="shared" si="29"/>
        <v>9152040111</v>
      </c>
      <c r="D927" s="455" t="e">
        <f>VLOOKUP(G927,Table!$G$3:$H$21,2,FALSE)</f>
        <v>#N/A</v>
      </c>
      <c r="E927" s="452" t="s">
        <v>902</v>
      </c>
      <c r="F927" s="452" t="s">
        <v>1356</v>
      </c>
      <c r="G927" s="452" t="s">
        <v>1361</v>
      </c>
      <c r="H927" s="452" t="s">
        <v>1362</v>
      </c>
      <c r="I927" s="453" t="s">
        <v>844</v>
      </c>
      <c r="J927" s="453">
        <v>34897</v>
      </c>
      <c r="K927" s="461">
        <v>13526</v>
      </c>
      <c r="L927" s="461">
        <v>10751</v>
      </c>
      <c r="M927" s="461">
        <v>10620</v>
      </c>
      <c r="N927" s="461">
        <v>0</v>
      </c>
      <c r="O927" s="461">
        <v>0</v>
      </c>
      <c r="P927" s="461">
        <v>0</v>
      </c>
      <c r="Q927" s="461">
        <v>0</v>
      </c>
      <c r="R927" s="461">
        <v>0</v>
      </c>
      <c r="S927" s="461">
        <v>0</v>
      </c>
      <c r="T927" s="461">
        <v>0</v>
      </c>
      <c r="U927" s="461">
        <v>0</v>
      </c>
      <c r="V927" s="461">
        <v>0</v>
      </c>
    </row>
    <row r="928" spans="1:22" s="455" customFormat="1" hidden="1">
      <c r="A928" s="455" t="str">
        <f t="shared" si="28"/>
        <v>14209152040121</v>
      </c>
      <c r="B928" s="455">
        <f>VLOOKUP(LEFT($C$3:$C$2600,3),Table!$D$2:$E$88,2,FALSE)</f>
        <v>0</v>
      </c>
      <c r="C928" s="455" t="str">
        <f t="shared" si="29"/>
        <v>9152040121</v>
      </c>
      <c r="D928" s="455" t="e">
        <f>VLOOKUP(G928,Table!$G$3:$H$21,2,FALSE)</f>
        <v>#N/A</v>
      </c>
      <c r="E928" s="452" t="s">
        <v>902</v>
      </c>
      <c r="F928" s="452" t="s">
        <v>1356</v>
      </c>
      <c r="G928" s="452" t="s">
        <v>1363</v>
      </c>
      <c r="H928" s="452" t="s">
        <v>1364</v>
      </c>
      <c r="I928" s="453" t="s">
        <v>844</v>
      </c>
      <c r="J928" s="453">
        <v>20575.400000000001</v>
      </c>
      <c r="K928" s="461">
        <v>1040</v>
      </c>
      <c r="L928" s="461">
        <v>11937</v>
      </c>
      <c r="M928" s="461">
        <v>8870.4</v>
      </c>
      <c r="N928" s="461">
        <v>0</v>
      </c>
      <c r="O928" s="461">
        <v>0</v>
      </c>
      <c r="P928" s="461">
        <v>0</v>
      </c>
      <c r="Q928" s="461">
        <v>0</v>
      </c>
      <c r="R928" s="461">
        <v>0</v>
      </c>
      <c r="S928" s="461">
        <v>0</v>
      </c>
      <c r="T928" s="461">
        <v>0</v>
      </c>
      <c r="U928" s="461">
        <v>0</v>
      </c>
      <c r="V928" s="461">
        <v>0</v>
      </c>
    </row>
    <row r="929" spans="1:22" s="455" customFormat="1" hidden="1">
      <c r="A929" s="455" t="str">
        <f t="shared" si="28"/>
        <v>14209152040211</v>
      </c>
      <c r="B929" s="455">
        <f>VLOOKUP(LEFT($C$3:$C$2600,3),Table!$D$2:$E$88,2,FALSE)</f>
        <v>0</v>
      </c>
      <c r="C929" s="455" t="str">
        <f t="shared" si="29"/>
        <v>9152040211</v>
      </c>
      <c r="D929" s="455" t="e">
        <f>VLOOKUP(G929,Table!$G$3:$H$21,2,FALSE)</f>
        <v>#N/A</v>
      </c>
      <c r="E929" s="452" t="s">
        <v>902</v>
      </c>
      <c r="F929" s="452" t="s">
        <v>1356</v>
      </c>
      <c r="G929" s="452" t="s">
        <v>1365</v>
      </c>
      <c r="H929" s="452" t="s">
        <v>1366</v>
      </c>
      <c r="I929" s="453" t="s">
        <v>844</v>
      </c>
      <c r="J929" s="453">
        <v>9241</v>
      </c>
      <c r="K929" s="461">
        <v>760</v>
      </c>
      <c r="L929" s="461">
        <v>8481</v>
      </c>
      <c r="M929" s="461">
        <v>0</v>
      </c>
      <c r="N929" s="461">
        <v>0</v>
      </c>
      <c r="O929" s="461">
        <v>0</v>
      </c>
      <c r="P929" s="461">
        <v>0</v>
      </c>
      <c r="Q929" s="461">
        <v>0</v>
      </c>
      <c r="R929" s="461">
        <v>0</v>
      </c>
      <c r="S929" s="461">
        <v>0</v>
      </c>
      <c r="T929" s="461">
        <v>0</v>
      </c>
      <c r="U929" s="461">
        <v>0</v>
      </c>
      <c r="V929" s="461">
        <v>0</v>
      </c>
    </row>
    <row r="930" spans="1:22" s="455" customFormat="1" hidden="1">
      <c r="A930" s="455" t="str">
        <f t="shared" si="28"/>
        <v>14209152040221</v>
      </c>
      <c r="B930" s="455">
        <f>VLOOKUP(LEFT($C$3:$C$2600,3),Table!$D$2:$E$88,2,FALSE)</f>
        <v>0</v>
      </c>
      <c r="C930" s="455" t="str">
        <f t="shared" si="29"/>
        <v>9152040221</v>
      </c>
      <c r="D930" s="455" t="e">
        <f>VLOOKUP(G930,Table!$G$3:$H$21,2,FALSE)</f>
        <v>#N/A</v>
      </c>
      <c r="E930" s="452" t="s">
        <v>902</v>
      </c>
      <c r="F930" s="452" t="s">
        <v>1356</v>
      </c>
      <c r="G930" s="452" t="s">
        <v>1367</v>
      </c>
      <c r="H930" s="452" t="s">
        <v>1368</v>
      </c>
      <c r="I930" s="453" t="s">
        <v>844</v>
      </c>
      <c r="J930" s="453">
        <v>1070</v>
      </c>
      <c r="K930" s="461">
        <v>780</v>
      </c>
      <c r="L930" s="461">
        <v>290</v>
      </c>
      <c r="M930" s="461">
        <v>11500</v>
      </c>
      <c r="N930" s="461">
        <v>0</v>
      </c>
      <c r="O930" s="461">
        <v>0</v>
      </c>
      <c r="P930" s="461">
        <v>0</v>
      </c>
      <c r="Q930" s="461">
        <v>0</v>
      </c>
      <c r="R930" s="461">
        <v>0</v>
      </c>
      <c r="S930" s="461">
        <v>0</v>
      </c>
      <c r="T930" s="461">
        <v>0</v>
      </c>
      <c r="U930" s="461">
        <v>0</v>
      </c>
      <c r="V930" s="461">
        <v>0</v>
      </c>
    </row>
    <row r="931" spans="1:22" s="455" customFormat="1" hidden="1">
      <c r="A931" s="455" t="str">
        <f t="shared" si="28"/>
        <v>14209152040271</v>
      </c>
      <c r="B931" s="455">
        <f>VLOOKUP(LEFT($C$3:$C$2600,3),Table!$D$2:$E$88,2,FALSE)</f>
        <v>0</v>
      </c>
      <c r="C931" s="455" t="str">
        <f t="shared" si="29"/>
        <v>9152040271</v>
      </c>
      <c r="D931" s="455" t="e">
        <f>VLOOKUP(G931,Table!$G$3:$H$21,2,FALSE)</f>
        <v>#N/A</v>
      </c>
      <c r="E931" s="452" t="s">
        <v>902</v>
      </c>
      <c r="F931" s="452" t="s">
        <v>1356</v>
      </c>
      <c r="G931" s="452" t="s">
        <v>2547</v>
      </c>
      <c r="H931" s="452" t="s">
        <v>2548</v>
      </c>
      <c r="I931" s="453" t="s">
        <v>844</v>
      </c>
      <c r="J931" s="453">
        <v>850</v>
      </c>
      <c r="K931" s="461">
        <v>0</v>
      </c>
      <c r="L931" s="461">
        <v>0</v>
      </c>
      <c r="M931" s="461">
        <v>850</v>
      </c>
      <c r="N931" s="461">
        <v>0</v>
      </c>
      <c r="O931" s="461">
        <v>0</v>
      </c>
      <c r="P931" s="461">
        <v>0</v>
      </c>
      <c r="Q931" s="461">
        <v>0</v>
      </c>
      <c r="R931" s="461">
        <v>0</v>
      </c>
      <c r="S931" s="461">
        <v>0</v>
      </c>
      <c r="T931" s="461">
        <v>0</v>
      </c>
      <c r="U931" s="461">
        <v>0</v>
      </c>
      <c r="V931" s="461">
        <v>0</v>
      </c>
    </row>
    <row r="932" spans="1:22" s="455" customFormat="1" hidden="1">
      <c r="A932" s="455" t="str">
        <f t="shared" si="28"/>
        <v>14209152041011</v>
      </c>
      <c r="B932" s="455">
        <f>VLOOKUP(LEFT($C$3:$C$2600,3),Table!$D$2:$E$88,2,FALSE)</f>
        <v>0</v>
      </c>
      <c r="C932" s="455" t="str">
        <f t="shared" si="29"/>
        <v>9152041011</v>
      </c>
      <c r="D932" s="455" t="e">
        <f>VLOOKUP(G932,Table!$G$3:$H$21,2,FALSE)</f>
        <v>#N/A</v>
      </c>
      <c r="E932" s="452" t="s">
        <v>902</v>
      </c>
      <c r="F932" s="452" t="s">
        <v>1356</v>
      </c>
      <c r="G932" s="452" t="s">
        <v>1369</v>
      </c>
      <c r="H932" s="452" t="s">
        <v>1370</v>
      </c>
      <c r="I932" s="453" t="s">
        <v>844</v>
      </c>
      <c r="J932" s="453">
        <v>3050</v>
      </c>
      <c r="K932" s="461">
        <v>1730</v>
      </c>
      <c r="L932" s="461">
        <v>660</v>
      </c>
      <c r="M932" s="461">
        <v>0</v>
      </c>
      <c r="N932" s="461">
        <v>0</v>
      </c>
      <c r="O932" s="461">
        <v>0</v>
      </c>
      <c r="P932" s="461">
        <v>0</v>
      </c>
      <c r="Q932" s="461">
        <v>0</v>
      </c>
      <c r="R932" s="461">
        <v>0</v>
      </c>
      <c r="S932" s="461">
        <v>0</v>
      </c>
      <c r="T932" s="461">
        <v>0</v>
      </c>
      <c r="U932" s="461">
        <v>0</v>
      </c>
      <c r="V932" s="461">
        <v>0</v>
      </c>
    </row>
    <row r="933" spans="1:22" s="455" customFormat="1" hidden="1">
      <c r="A933" s="455" t="str">
        <f t="shared" si="28"/>
        <v>14209153001000</v>
      </c>
      <c r="B933" s="455">
        <f>VLOOKUP(LEFT($C$3:$C$2600,3),Table!$D$2:$E$88,2,FALSE)</f>
        <v>0</v>
      </c>
      <c r="C933" s="455" t="str">
        <f t="shared" si="29"/>
        <v>9153001000</v>
      </c>
      <c r="D933" s="455" t="e">
        <f>VLOOKUP(G933,Table!$G$3:$H$21,2,FALSE)</f>
        <v>#N/A</v>
      </c>
      <c r="E933" s="452" t="s">
        <v>902</v>
      </c>
      <c r="F933" s="452" t="s">
        <v>1356</v>
      </c>
      <c r="G933" s="452" t="s">
        <v>1043</v>
      </c>
      <c r="H933" s="452" t="s">
        <v>1044</v>
      </c>
      <c r="I933" s="453" t="s">
        <v>844</v>
      </c>
      <c r="J933" s="453">
        <v>154554</v>
      </c>
      <c r="K933" s="461">
        <v>51518</v>
      </c>
      <c r="L933" s="461">
        <v>51518</v>
      </c>
      <c r="M933" s="461">
        <v>51518</v>
      </c>
      <c r="N933" s="461">
        <v>0</v>
      </c>
      <c r="O933" s="461">
        <v>0</v>
      </c>
      <c r="P933" s="461">
        <v>0</v>
      </c>
      <c r="Q933" s="461">
        <v>0</v>
      </c>
      <c r="R933" s="461">
        <v>0</v>
      </c>
      <c r="S933" s="461">
        <v>0</v>
      </c>
      <c r="T933" s="461">
        <v>0</v>
      </c>
      <c r="U933" s="461">
        <v>0</v>
      </c>
      <c r="V933" s="461">
        <v>0</v>
      </c>
    </row>
    <row r="934" spans="1:22" s="455" customFormat="1" hidden="1">
      <c r="A934" s="455" t="str">
        <f t="shared" si="28"/>
        <v>14209153001300</v>
      </c>
      <c r="B934" s="455">
        <f>VLOOKUP(LEFT($C$3:$C$2600,3),Table!$D$2:$E$88,2,FALSE)</f>
        <v>0</v>
      </c>
      <c r="C934" s="455" t="str">
        <f t="shared" si="29"/>
        <v>9153001300</v>
      </c>
      <c r="D934" s="455" t="e">
        <f>VLOOKUP(G934,Table!$G$3:$H$21,2,FALSE)</f>
        <v>#N/A</v>
      </c>
      <c r="E934" s="452" t="s">
        <v>902</v>
      </c>
      <c r="F934" s="452" t="s">
        <v>1356</v>
      </c>
      <c r="G934" s="452" t="s">
        <v>1371</v>
      </c>
      <c r="H934" s="452" t="s">
        <v>1372</v>
      </c>
      <c r="I934" s="453" t="s">
        <v>844</v>
      </c>
      <c r="J934" s="453">
        <v>28005</v>
      </c>
      <c r="K934" s="461">
        <v>9335</v>
      </c>
      <c r="L934" s="461">
        <v>9335</v>
      </c>
      <c r="M934" s="461">
        <v>9335</v>
      </c>
      <c r="N934" s="461">
        <v>0</v>
      </c>
      <c r="O934" s="461">
        <v>0</v>
      </c>
      <c r="P934" s="461">
        <v>0</v>
      </c>
      <c r="Q934" s="461">
        <v>0</v>
      </c>
      <c r="R934" s="461">
        <v>0</v>
      </c>
      <c r="S934" s="461">
        <v>0</v>
      </c>
      <c r="T934" s="461">
        <v>0</v>
      </c>
      <c r="U934" s="461">
        <v>0</v>
      </c>
      <c r="V934" s="461">
        <v>0</v>
      </c>
    </row>
    <row r="935" spans="1:22" s="455" customFormat="1" hidden="1">
      <c r="A935" s="455" t="str">
        <f t="shared" si="28"/>
        <v>14409150900000</v>
      </c>
      <c r="B935" s="455">
        <f>VLOOKUP(LEFT($C$3:$C$2600,3),Table!$D$2:$E$88,2,FALSE)</f>
        <v>0</v>
      </c>
      <c r="C935" s="455" t="str">
        <f t="shared" si="29"/>
        <v>9150900000</v>
      </c>
      <c r="D935" s="455" t="e">
        <f>VLOOKUP(G935,Table!$G$3:$H$21,2,FALSE)</f>
        <v>#N/A</v>
      </c>
      <c r="E935" s="452" t="s">
        <v>902</v>
      </c>
      <c r="F935" s="452" t="s">
        <v>1373</v>
      </c>
      <c r="G935" s="452" t="s">
        <v>1008</v>
      </c>
      <c r="H935" s="452" t="s">
        <v>966</v>
      </c>
      <c r="I935" s="453" t="s">
        <v>844</v>
      </c>
      <c r="J935" s="453">
        <v>13440</v>
      </c>
      <c r="K935" s="461">
        <v>6910</v>
      </c>
      <c r="L935" s="461">
        <v>3150</v>
      </c>
      <c r="M935" s="461">
        <v>3380</v>
      </c>
      <c r="N935" s="461">
        <v>0</v>
      </c>
      <c r="O935" s="461">
        <v>0</v>
      </c>
      <c r="P935" s="461">
        <v>0</v>
      </c>
      <c r="Q935" s="461">
        <v>0</v>
      </c>
      <c r="R935" s="461">
        <v>0</v>
      </c>
      <c r="S935" s="461">
        <v>0</v>
      </c>
      <c r="T935" s="461">
        <v>0</v>
      </c>
      <c r="U935" s="461">
        <v>0</v>
      </c>
      <c r="V935" s="461">
        <v>0</v>
      </c>
    </row>
    <row r="936" spans="1:22" s="455" customFormat="1" hidden="1">
      <c r="A936" s="455" t="str">
        <f t="shared" si="28"/>
        <v>14409151001000</v>
      </c>
      <c r="B936" s="455">
        <f>VLOOKUP(LEFT($C$3:$C$2600,3),Table!$D$2:$E$88,2,FALSE)</f>
        <v>0</v>
      </c>
      <c r="C936" s="455" t="str">
        <f t="shared" si="29"/>
        <v>9151001000</v>
      </c>
      <c r="D936" s="455" t="e">
        <f>VLOOKUP(G936,Table!$G$3:$H$21,2,FALSE)</f>
        <v>#N/A</v>
      </c>
      <c r="E936" s="452" t="s">
        <v>902</v>
      </c>
      <c r="F936" s="452" t="s">
        <v>1373</v>
      </c>
      <c r="G936" s="452" t="s">
        <v>1129</v>
      </c>
      <c r="H936" s="452" t="s">
        <v>994</v>
      </c>
      <c r="I936" s="453" t="s">
        <v>844</v>
      </c>
      <c r="J936" s="453">
        <v>5031</v>
      </c>
      <c r="K936" s="461">
        <v>1677</v>
      </c>
      <c r="L936" s="461">
        <v>1677</v>
      </c>
      <c r="M936" s="461">
        <v>1677</v>
      </c>
      <c r="N936" s="461">
        <v>0</v>
      </c>
      <c r="O936" s="461">
        <v>0</v>
      </c>
      <c r="P936" s="461">
        <v>0</v>
      </c>
      <c r="Q936" s="461">
        <v>0</v>
      </c>
      <c r="R936" s="461">
        <v>0</v>
      </c>
      <c r="S936" s="461">
        <v>0</v>
      </c>
      <c r="T936" s="461">
        <v>0</v>
      </c>
      <c r="U936" s="461">
        <v>0</v>
      </c>
      <c r="V936" s="461">
        <v>0</v>
      </c>
    </row>
    <row r="937" spans="1:22" s="455" customFormat="1" hidden="1">
      <c r="A937" s="455" t="str">
        <f t="shared" si="28"/>
        <v>14409151001100</v>
      </c>
      <c r="B937" s="455">
        <f>VLOOKUP(LEFT($C$3:$C$2600,3),Table!$D$2:$E$88,2,FALSE)</f>
        <v>0</v>
      </c>
      <c r="C937" s="455" t="str">
        <f t="shared" si="29"/>
        <v>9151001100</v>
      </c>
      <c r="D937" s="455" t="e">
        <f>VLOOKUP(G937,Table!$G$3:$H$21,2,FALSE)</f>
        <v>#N/A</v>
      </c>
      <c r="E937" s="452" t="s">
        <v>902</v>
      </c>
      <c r="F937" s="452" t="s">
        <v>1373</v>
      </c>
      <c r="G937" s="452" t="s">
        <v>1130</v>
      </c>
      <c r="H937" s="452" t="s">
        <v>1131</v>
      </c>
      <c r="I937" s="453" t="s">
        <v>844</v>
      </c>
      <c r="J937" s="453">
        <v>1967.83</v>
      </c>
      <c r="K937" s="461">
        <v>770.85</v>
      </c>
      <c r="L937" s="461">
        <v>741.75</v>
      </c>
      <c r="M937" s="461">
        <v>547.21</v>
      </c>
      <c r="N937" s="461">
        <v>0</v>
      </c>
      <c r="O937" s="461">
        <v>0</v>
      </c>
      <c r="P937" s="461">
        <v>0</v>
      </c>
      <c r="Q937" s="461">
        <v>0</v>
      </c>
      <c r="R937" s="461">
        <v>0</v>
      </c>
      <c r="S937" s="461">
        <v>0</v>
      </c>
      <c r="T937" s="461">
        <v>0</v>
      </c>
      <c r="U937" s="461">
        <v>0</v>
      </c>
      <c r="V937" s="461">
        <v>0</v>
      </c>
    </row>
    <row r="938" spans="1:22" s="455" customFormat="1" hidden="1">
      <c r="A938" s="455" t="str">
        <f t="shared" si="28"/>
        <v>14409151001400</v>
      </c>
      <c r="B938" s="455">
        <f>VLOOKUP(LEFT($C$3:$C$2600,3),Table!$D$2:$E$88,2,FALSE)</f>
        <v>0</v>
      </c>
      <c r="C938" s="455" t="str">
        <f t="shared" si="29"/>
        <v>9151001400</v>
      </c>
      <c r="D938" s="455" t="e">
        <f>VLOOKUP(G938,Table!$G$3:$H$21,2,FALSE)</f>
        <v>#N/A</v>
      </c>
      <c r="E938" s="452" t="s">
        <v>902</v>
      </c>
      <c r="F938" s="452" t="s">
        <v>1373</v>
      </c>
      <c r="G938" s="452" t="s">
        <v>1133</v>
      </c>
      <c r="H938" s="452" t="s">
        <v>998</v>
      </c>
      <c r="I938" s="453" t="s">
        <v>844</v>
      </c>
      <c r="J938" s="453">
        <v>623</v>
      </c>
      <c r="K938" s="461">
        <v>209</v>
      </c>
      <c r="L938" s="461">
        <v>207</v>
      </c>
      <c r="M938" s="461">
        <v>207</v>
      </c>
      <c r="N938" s="461">
        <v>0</v>
      </c>
      <c r="O938" s="461">
        <v>0</v>
      </c>
      <c r="P938" s="461">
        <v>0</v>
      </c>
      <c r="Q938" s="461">
        <v>0</v>
      </c>
      <c r="R938" s="461">
        <v>0</v>
      </c>
      <c r="S938" s="461">
        <v>0</v>
      </c>
      <c r="T938" s="461">
        <v>0</v>
      </c>
      <c r="U938" s="461">
        <v>0</v>
      </c>
      <c r="V938" s="461">
        <v>0</v>
      </c>
    </row>
    <row r="939" spans="1:22" s="455" customFormat="1" hidden="1">
      <c r="A939" s="455" t="str">
        <f t="shared" si="28"/>
        <v>14409151001500</v>
      </c>
      <c r="B939" s="455">
        <f>VLOOKUP(LEFT($C$3:$C$2600,3),Table!$D$2:$E$88,2,FALSE)</f>
        <v>0</v>
      </c>
      <c r="C939" s="455" t="str">
        <f t="shared" si="29"/>
        <v>9151001500</v>
      </c>
      <c r="D939" s="455" t="e">
        <f>VLOOKUP(G939,Table!$G$3:$H$21,2,FALSE)</f>
        <v>#N/A</v>
      </c>
      <c r="E939" s="452" t="s">
        <v>902</v>
      </c>
      <c r="F939" s="452" t="s">
        <v>1373</v>
      </c>
      <c r="G939" s="452" t="s">
        <v>1135</v>
      </c>
      <c r="H939" s="452" t="s">
        <v>1136</v>
      </c>
      <c r="I939" s="453" t="s">
        <v>844</v>
      </c>
      <c r="J939" s="453">
        <v>126.85</v>
      </c>
      <c r="K939" s="461">
        <v>42.85</v>
      </c>
      <c r="L939" s="461">
        <v>42.85</v>
      </c>
      <c r="M939" s="461">
        <v>41.15</v>
      </c>
      <c r="N939" s="461">
        <v>0</v>
      </c>
      <c r="O939" s="461">
        <v>0</v>
      </c>
      <c r="P939" s="461">
        <v>0</v>
      </c>
      <c r="Q939" s="461">
        <v>0</v>
      </c>
      <c r="R939" s="461">
        <v>0</v>
      </c>
      <c r="S939" s="461">
        <v>0</v>
      </c>
      <c r="T939" s="461">
        <v>0</v>
      </c>
      <c r="U939" s="461">
        <v>0</v>
      </c>
      <c r="V939" s="461">
        <v>0</v>
      </c>
    </row>
    <row r="940" spans="1:22" s="455" customFormat="1" hidden="1">
      <c r="A940" s="455" t="str">
        <f t="shared" si="28"/>
        <v>14409151001600</v>
      </c>
      <c r="B940" s="455">
        <f>VLOOKUP(LEFT($C$3:$C$2600,3),Table!$D$2:$E$88,2,FALSE)</f>
        <v>0</v>
      </c>
      <c r="C940" s="455" t="str">
        <f t="shared" si="29"/>
        <v>9151001600</v>
      </c>
      <c r="D940" s="455" t="e">
        <f>VLOOKUP(G940,Table!$G$3:$H$21,2,FALSE)</f>
        <v>#N/A</v>
      </c>
      <c r="E940" s="452" t="s">
        <v>902</v>
      </c>
      <c r="F940" s="452" t="s">
        <v>1373</v>
      </c>
      <c r="G940" s="452" t="s">
        <v>1137</v>
      </c>
      <c r="H940" s="452" t="s">
        <v>1002</v>
      </c>
      <c r="I940" s="453" t="s">
        <v>844</v>
      </c>
      <c r="J940" s="453">
        <v>1147.8900000000001</v>
      </c>
      <c r="K940" s="461">
        <v>382.63</v>
      </c>
      <c r="L940" s="461">
        <v>382.63</v>
      </c>
      <c r="M940" s="461">
        <v>382.63</v>
      </c>
      <c r="N940" s="461">
        <v>0</v>
      </c>
      <c r="O940" s="461">
        <v>0</v>
      </c>
      <c r="P940" s="461">
        <v>0</v>
      </c>
      <c r="Q940" s="461">
        <v>0</v>
      </c>
      <c r="R940" s="461">
        <v>0</v>
      </c>
      <c r="S940" s="461">
        <v>0</v>
      </c>
      <c r="T940" s="461">
        <v>0</v>
      </c>
      <c r="U940" s="461">
        <v>0</v>
      </c>
      <c r="V940" s="461">
        <v>0</v>
      </c>
    </row>
    <row r="941" spans="1:22" s="455" customFormat="1" hidden="1">
      <c r="A941" s="455" t="str">
        <f t="shared" si="28"/>
        <v>14409151001700</v>
      </c>
      <c r="B941" s="455">
        <f>VLOOKUP(LEFT($C$3:$C$2600,3),Table!$D$2:$E$88,2,FALSE)</f>
        <v>0</v>
      </c>
      <c r="C941" s="455" t="str">
        <f t="shared" si="29"/>
        <v>9151001700</v>
      </c>
      <c r="D941" s="455" t="e">
        <f>VLOOKUP(G941,Table!$G$3:$H$21,2,FALSE)</f>
        <v>#N/A</v>
      </c>
      <c r="E941" s="452" t="s">
        <v>902</v>
      </c>
      <c r="F941" s="452" t="s">
        <v>1373</v>
      </c>
      <c r="G941" s="452" t="s">
        <v>1138</v>
      </c>
      <c r="H941" s="452" t="s">
        <v>1313</v>
      </c>
      <c r="I941" s="453" t="s">
        <v>844</v>
      </c>
      <c r="J941" s="453">
        <v>-1424.15</v>
      </c>
      <c r="K941" s="461">
        <v>0</v>
      </c>
      <c r="L941" s="461">
        <v>89.39</v>
      </c>
      <c r="M941" s="461">
        <v>88.38</v>
      </c>
      <c r="N941" s="461">
        <v>0</v>
      </c>
      <c r="O941" s="461">
        <v>0</v>
      </c>
      <c r="P941" s="461">
        <v>0</v>
      </c>
      <c r="Q941" s="461">
        <v>0</v>
      </c>
      <c r="R941" s="461">
        <v>0</v>
      </c>
      <c r="S941" s="461">
        <v>0</v>
      </c>
      <c r="T941" s="461">
        <v>0</v>
      </c>
      <c r="U941" s="461">
        <v>0</v>
      </c>
      <c r="V941" s="461">
        <v>0</v>
      </c>
    </row>
    <row r="942" spans="1:22" s="455" customFormat="1" hidden="1">
      <c r="A942" s="455" t="str">
        <f t="shared" si="28"/>
        <v>14409151001800</v>
      </c>
      <c r="B942" s="455">
        <f>VLOOKUP(LEFT($C$3:$C$2600,3),Table!$D$2:$E$88,2,FALSE)</f>
        <v>0</v>
      </c>
      <c r="C942" s="455" t="str">
        <f t="shared" si="29"/>
        <v>9151001800</v>
      </c>
      <c r="D942" s="455" t="e">
        <f>VLOOKUP(G942,Table!$G$3:$H$21,2,FALSE)</f>
        <v>#N/A</v>
      </c>
      <c r="E942" s="452" t="s">
        <v>902</v>
      </c>
      <c r="F942" s="452" t="s">
        <v>1373</v>
      </c>
      <c r="G942" s="452" t="s">
        <v>1139</v>
      </c>
      <c r="H942" s="452" t="s">
        <v>1005</v>
      </c>
      <c r="I942" s="453" t="s">
        <v>844</v>
      </c>
      <c r="J942" s="453">
        <v>433.7</v>
      </c>
      <c r="K942" s="461">
        <v>156.5</v>
      </c>
      <c r="L942" s="461">
        <v>133.6</v>
      </c>
      <c r="M942" s="461">
        <v>143.6</v>
      </c>
      <c r="N942" s="461">
        <v>0</v>
      </c>
      <c r="O942" s="461">
        <v>0</v>
      </c>
      <c r="P942" s="461">
        <v>0</v>
      </c>
      <c r="Q942" s="461">
        <v>0</v>
      </c>
      <c r="R942" s="461">
        <v>0</v>
      </c>
      <c r="S942" s="461">
        <v>0</v>
      </c>
      <c r="T942" s="461">
        <v>0</v>
      </c>
      <c r="U942" s="461">
        <v>0</v>
      </c>
      <c r="V942" s="461">
        <v>0</v>
      </c>
    </row>
    <row r="943" spans="1:22" s="455" customFormat="1" hidden="1">
      <c r="A943" s="455" t="str">
        <f t="shared" si="28"/>
        <v>14409151001900</v>
      </c>
      <c r="B943" s="455">
        <f>VLOOKUP(LEFT($C$3:$C$2600,3),Table!$D$2:$E$88,2,FALSE)</f>
        <v>0</v>
      </c>
      <c r="C943" s="455" t="str">
        <f t="shared" si="29"/>
        <v>9151001900</v>
      </c>
      <c r="D943" s="455" t="e">
        <f>VLOOKUP(G943,Table!$G$3:$H$21,2,FALSE)</f>
        <v>#N/A</v>
      </c>
      <c r="E943" s="452" t="s">
        <v>902</v>
      </c>
      <c r="F943" s="452" t="s">
        <v>1373</v>
      </c>
      <c r="G943" s="452" t="s">
        <v>1140</v>
      </c>
      <c r="H943" s="452" t="s">
        <v>1007</v>
      </c>
      <c r="I943" s="453" t="s">
        <v>844</v>
      </c>
      <c r="J943" s="453">
        <v>50.31</v>
      </c>
      <c r="K943" s="461">
        <v>16.77</v>
      </c>
      <c r="L943" s="461">
        <v>16.77</v>
      </c>
      <c r="M943" s="461">
        <v>16.77</v>
      </c>
      <c r="N943" s="461">
        <v>0</v>
      </c>
      <c r="O943" s="461">
        <v>0</v>
      </c>
      <c r="P943" s="461">
        <v>0</v>
      </c>
      <c r="Q943" s="461">
        <v>0</v>
      </c>
      <c r="R943" s="461">
        <v>0</v>
      </c>
      <c r="S943" s="461">
        <v>0</v>
      </c>
      <c r="T943" s="461">
        <v>0</v>
      </c>
      <c r="U943" s="461">
        <v>0</v>
      </c>
      <c r="V943" s="461">
        <v>0</v>
      </c>
    </row>
    <row r="944" spans="1:22" s="455" customFormat="1" hidden="1">
      <c r="A944" s="455" t="str">
        <f t="shared" si="28"/>
        <v>14409151302500</v>
      </c>
      <c r="B944" s="455">
        <f>VLOOKUP(LEFT($C$3:$C$2600,3),Table!$D$2:$E$88,2,FALSE)</f>
        <v>0</v>
      </c>
      <c r="C944" s="455" t="str">
        <f t="shared" si="29"/>
        <v>9151302500</v>
      </c>
      <c r="D944" s="455" t="e">
        <f>VLOOKUP(G944,Table!$G$3:$H$21,2,FALSE)</f>
        <v>#N/A</v>
      </c>
      <c r="E944" s="452" t="s">
        <v>902</v>
      </c>
      <c r="F944" s="452" t="s">
        <v>1373</v>
      </c>
      <c r="G944" s="452" t="s">
        <v>1154</v>
      </c>
      <c r="H944" s="452" t="s">
        <v>1155</v>
      </c>
      <c r="I944" s="453" t="s">
        <v>844</v>
      </c>
      <c r="J944" s="453">
        <v>2462.7199999999998</v>
      </c>
      <c r="K944" s="461">
        <v>936.97</v>
      </c>
      <c r="L944" s="461">
        <v>502.95</v>
      </c>
      <c r="M944" s="461">
        <v>1022.8</v>
      </c>
      <c r="N944" s="461">
        <v>0</v>
      </c>
      <c r="O944" s="461">
        <v>0</v>
      </c>
      <c r="P944" s="461">
        <v>0</v>
      </c>
      <c r="Q944" s="461">
        <v>0</v>
      </c>
      <c r="R944" s="461">
        <v>0</v>
      </c>
      <c r="S944" s="461">
        <v>0</v>
      </c>
      <c r="T944" s="461">
        <v>0</v>
      </c>
      <c r="U944" s="461">
        <v>0</v>
      </c>
      <c r="V944" s="461">
        <v>0</v>
      </c>
    </row>
    <row r="945" spans="1:22" s="455" customFormat="1" hidden="1">
      <c r="A945" s="455" t="str">
        <f t="shared" si="28"/>
        <v>14409151601001</v>
      </c>
      <c r="B945" s="455">
        <f>VLOOKUP(LEFT($C$3:$C$2600,3),Table!$D$2:$E$88,2,FALSE)</f>
        <v>0</v>
      </c>
      <c r="C945" s="455" t="str">
        <f t="shared" si="29"/>
        <v>9151601001</v>
      </c>
      <c r="D945" s="455" t="e">
        <f>VLOOKUP(G945,Table!$G$3:$H$21,2,FALSE)</f>
        <v>#N/A</v>
      </c>
      <c r="E945" s="452" t="s">
        <v>902</v>
      </c>
      <c r="F945" s="452" t="s">
        <v>1373</v>
      </c>
      <c r="G945" s="452" t="s">
        <v>1015</v>
      </c>
      <c r="H945" s="452" t="s">
        <v>1016</v>
      </c>
      <c r="I945" s="453" t="s">
        <v>844</v>
      </c>
      <c r="J945" s="453">
        <v>237</v>
      </c>
      <c r="K945" s="461">
        <v>126.5</v>
      </c>
      <c r="L945" s="461">
        <v>59.5</v>
      </c>
      <c r="M945" s="461">
        <v>51</v>
      </c>
      <c r="N945" s="461">
        <v>0</v>
      </c>
      <c r="O945" s="461">
        <v>0</v>
      </c>
      <c r="P945" s="461">
        <v>0</v>
      </c>
      <c r="Q945" s="461">
        <v>0</v>
      </c>
      <c r="R945" s="461">
        <v>0</v>
      </c>
      <c r="S945" s="461">
        <v>0</v>
      </c>
      <c r="T945" s="461">
        <v>0</v>
      </c>
      <c r="U945" s="461">
        <v>0</v>
      </c>
      <c r="V945" s="461">
        <v>0</v>
      </c>
    </row>
    <row r="946" spans="1:22" s="455" customFormat="1" hidden="1">
      <c r="A946" s="455" t="str">
        <f t="shared" si="28"/>
        <v>14409151701000</v>
      </c>
      <c r="B946" s="455">
        <f>VLOOKUP(LEFT($C$3:$C$2600,3),Table!$D$2:$E$88,2,FALSE)</f>
        <v>0</v>
      </c>
      <c r="C946" s="455" t="str">
        <f t="shared" si="29"/>
        <v>9151701000</v>
      </c>
      <c r="D946" s="455" t="e">
        <f>VLOOKUP(G946,Table!$G$3:$H$21,2,FALSE)</f>
        <v>#N/A</v>
      </c>
      <c r="E946" s="452" t="s">
        <v>902</v>
      </c>
      <c r="F946" s="452" t="s">
        <v>1373</v>
      </c>
      <c r="G946" s="452" t="s">
        <v>1330</v>
      </c>
      <c r="H946" s="452" t="s">
        <v>1331</v>
      </c>
      <c r="I946" s="453" t="s">
        <v>844</v>
      </c>
      <c r="J946" s="453">
        <v>217.6</v>
      </c>
      <c r="K946" s="461">
        <v>54.15</v>
      </c>
      <c r="L946" s="461">
        <v>54.6</v>
      </c>
      <c r="M946" s="461">
        <v>54.35</v>
      </c>
      <c r="N946" s="461">
        <v>0</v>
      </c>
      <c r="O946" s="461">
        <v>0</v>
      </c>
      <c r="P946" s="461">
        <v>0</v>
      </c>
      <c r="Q946" s="461">
        <v>0</v>
      </c>
      <c r="R946" s="461">
        <v>0</v>
      </c>
      <c r="S946" s="461">
        <v>0</v>
      </c>
      <c r="T946" s="461">
        <v>0</v>
      </c>
      <c r="U946" s="461">
        <v>0</v>
      </c>
      <c r="V946" s="461">
        <v>0</v>
      </c>
    </row>
    <row r="947" spans="1:22" s="455" customFormat="1" hidden="1">
      <c r="A947" s="455" t="str">
        <f t="shared" si="28"/>
        <v>14409151801100</v>
      </c>
      <c r="B947" s="455">
        <f>VLOOKUP(LEFT($C$3:$C$2600,3),Table!$D$2:$E$88,2,FALSE)</f>
        <v>0</v>
      </c>
      <c r="C947" s="455" t="str">
        <f t="shared" si="29"/>
        <v>9151801100</v>
      </c>
      <c r="D947" s="455" t="e">
        <f>VLOOKUP(G947,Table!$G$3:$H$21,2,FALSE)</f>
        <v>#N/A</v>
      </c>
      <c r="E947" s="452" t="s">
        <v>902</v>
      </c>
      <c r="F947" s="452" t="s">
        <v>1373</v>
      </c>
      <c r="G947" s="452" t="s">
        <v>1017</v>
      </c>
      <c r="H947" s="452" t="s">
        <v>1018</v>
      </c>
      <c r="I947" s="453" t="s">
        <v>844</v>
      </c>
      <c r="J947" s="453">
        <v>3243.7</v>
      </c>
      <c r="K947" s="461">
        <v>2815.7</v>
      </c>
      <c r="L947" s="461">
        <v>30</v>
      </c>
      <c r="M947" s="461">
        <v>398</v>
      </c>
      <c r="N947" s="461">
        <v>0</v>
      </c>
      <c r="O947" s="461">
        <v>0</v>
      </c>
      <c r="P947" s="461">
        <v>0</v>
      </c>
      <c r="Q947" s="461">
        <v>0</v>
      </c>
      <c r="R947" s="461">
        <v>0</v>
      </c>
      <c r="S947" s="461">
        <v>0</v>
      </c>
      <c r="T947" s="461">
        <v>0</v>
      </c>
      <c r="U947" s="461">
        <v>0</v>
      </c>
      <c r="V947" s="461">
        <v>0</v>
      </c>
    </row>
    <row r="948" spans="1:22" s="455" customFormat="1" hidden="1">
      <c r="A948" s="455" t="str">
        <f t="shared" si="28"/>
        <v>14409151801800</v>
      </c>
      <c r="B948" s="455">
        <f>VLOOKUP(LEFT($C$3:$C$2600,3),Table!$D$2:$E$88,2,FALSE)</f>
        <v>0</v>
      </c>
      <c r="C948" s="455" t="str">
        <f t="shared" si="29"/>
        <v>9151801800</v>
      </c>
      <c r="D948" s="455" t="e">
        <f>VLOOKUP(G948,Table!$G$3:$H$21,2,FALSE)</f>
        <v>#N/A</v>
      </c>
      <c r="E948" s="452" t="s">
        <v>902</v>
      </c>
      <c r="F948" s="452" t="s">
        <v>1373</v>
      </c>
      <c r="G948" s="452" t="s">
        <v>1374</v>
      </c>
      <c r="H948" s="452" t="s">
        <v>1375</v>
      </c>
      <c r="I948" s="453" t="s">
        <v>844</v>
      </c>
      <c r="J948" s="453">
        <v>167.5</v>
      </c>
      <c r="K948" s="461">
        <v>1285.5</v>
      </c>
      <c r="L948" s="461">
        <v>363</v>
      </c>
      <c r="M948" s="461">
        <v>1105</v>
      </c>
      <c r="N948" s="461">
        <v>0</v>
      </c>
      <c r="O948" s="461">
        <v>0</v>
      </c>
      <c r="P948" s="461">
        <v>0</v>
      </c>
      <c r="Q948" s="461">
        <v>0</v>
      </c>
      <c r="R948" s="461">
        <v>0</v>
      </c>
      <c r="S948" s="461">
        <v>0</v>
      </c>
      <c r="T948" s="461">
        <v>0</v>
      </c>
      <c r="U948" s="461">
        <v>0</v>
      </c>
      <c r="V948" s="461">
        <v>0</v>
      </c>
    </row>
    <row r="949" spans="1:22" s="455" customFormat="1" hidden="1">
      <c r="A949" s="455" t="str">
        <f t="shared" si="28"/>
        <v>14409151801900</v>
      </c>
      <c r="B949" s="455">
        <f>VLOOKUP(LEFT($C$3:$C$2600,3),Table!$D$2:$E$88,2,FALSE)</f>
        <v>0</v>
      </c>
      <c r="C949" s="455" t="str">
        <f t="shared" si="29"/>
        <v>9151801900</v>
      </c>
      <c r="D949" s="455" t="e">
        <f>VLOOKUP(G949,Table!$G$3:$H$21,2,FALSE)</f>
        <v>#N/A</v>
      </c>
      <c r="E949" s="452" t="s">
        <v>902</v>
      </c>
      <c r="F949" s="452" t="s">
        <v>1373</v>
      </c>
      <c r="G949" s="452" t="s">
        <v>2549</v>
      </c>
      <c r="H949" s="452" t="s">
        <v>2550</v>
      </c>
      <c r="I949" s="453" t="s">
        <v>844</v>
      </c>
      <c r="J949" s="453">
        <v>345</v>
      </c>
      <c r="K949" s="461">
        <v>345</v>
      </c>
      <c r="L949" s="461">
        <v>0</v>
      </c>
      <c r="M949" s="461">
        <v>0</v>
      </c>
      <c r="N949" s="461">
        <v>0</v>
      </c>
      <c r="O949" s="461">
        <v>0</v>
      </c>
      <c r="P949" s="461">
        <v>0</v>
      </c>
      <c r="Q949" s="461">
        <v>0</v>
      </c>
      <c r="R949" s="461">
        <v>0</v>
      </c>
      <c r="S949" s="461">
        <v>0</v>
      </c>
      <c r="T949" s="461">
        <v>0</v>
      </c>
      <c r="U949" s="461">
        <v>0</v>
      </c>
      <c r="V949" s="461">
        <v>0</v>
      </c>
    </row>
    <row r="950" spans="1:22" s="455" customFormat="1" hidden="1">
      <c r="A950" s="455" t="str">
        <f t="shared" si="28"/>
        <v>14409152020819</v>
      </c>
      <c r="B950" s="455">
        <f>VLOOKUP(LEFT($C$3:$C$2600,3),Table!$D$2:$E$88,2,FALSE)</f>
        <v>0</v>
      </c>
      <c r="C950" s="455" t="str">
        <f t="shared" si="29"/>
        <v>9152020819</v>
      </c>
      <c r="D950" s="455" t="e">
        <f>VLOOKUP(G950,Table!$G$3:$H$21,2,FALSE)</f>
        <v>#N/A</v>
      </c>
      <c r="E950" s="452" t="s">
        <v>902</v>
      </c>
      <c r="F950" s="452" t="s">
        <v>1373</v>
      </c>
      <c r="G950" s="452" t="s">
        <v>1376</v>
      </c>
      <c r="H950" s="452" t="s">
        <v>1377</v>
      </c>
      <c r="I950" s="453" t="s">
        <v>844</v>
      </c>
      <c r="J950" s="453">
        <v>886</v>
      </c>
      <c r="K950" s="461">
        <v>36</v>
      </c>
      <c r="L950" s="461">
        <v>850</v>
      </c>
      <c r="M950" s="461">
        <v>0</v>
      </c>
      <c r="N950" s="461">
        <v>0</v>
      </c>
      <c r="O950" s="461">
        <v>0</v>
      </c>
      <c r="P950" s="461">
        <v>0</v>
      </c>
      <c r="Q950" s="461">
        <v>0</v>
      </c>
      <c r="R950" s="461">
        <v>0</v>
      </c>
      <c r="S950" s="461">
        <v>0</v>
      </c>
      <c r="T950" s="461">
        <v>0</v>
      </c>
      <c r="U950" s="461">
        <v>0</v>
      </c>
      <c r="V950" s="461">
        <v>0</v>
      </c>
    </row>
    <row r="951" spans="1:22" s="455" customFormat="1" hidden="1">
      <c r="A951" s="455" t="str">
        <f t="shared" si="28"/>
        <v>14409153001000</v>
      </c>
      <c r="B951" s="455">
        <f>VLOOKUP(LEFT($C$3:$C$2600,3),Table!$D$2:$E$88,2,FALSE)</f>
        <v>0</v>
      </c>
      <c r="C951" s="455" t="str">
        <f t="shared" si="29"/>
        <v>9153001000</v>
      </c>
      <c r="D951" s="455" t="e">
        <f>VLOOKUP(G951,Table!$G$3:$H$21,2,FALSE)</f>
        <v>#N/A</v>
      </c>
      <c r="E951" s="452" t="s">
        <v>902</v>
      </c>
      <c r="F951" s="452" t="s">
        <v>1373</v>
      </c>
      <c r="G951" s="452" t="s">
        <v>1043</v>
      </c>
      <c r="H951" s="452" t="s">
        <v>1044</v>
      </c>
      <c r="I951" s="453" t="s">
        <v>844</v>
      </c>
      <c r="J951" s="453">
        <v>5697</v>
      </c>
      <c r="K951" s="461">
        <v>1899</v>
      </c>
      <c r="L951" s="461">
        <v>1899</v>
      </c>
      <c r="M951" s="461">
        <v>1899</v>
      </c>
      <c r="N951" s="461">
        <v>0</v>
      </c>
      <c r="O951" s="461">
        <v>0</v>
      </c>
      <c r="P951" s="461">
        <v>0</v>
      </c>
      <c r="Q951" s="461">
        <v>0</v>
      </c>
      <c r="R951" s="461">
        <v>0</v>
      </c>
      <c r="S951" s="461">
        <v>0</v>
      </c>
      <c r="T951" s="461">
        <v>0</v>
      </c>
      <c r="U951" s="461">
        <v>0</v>
      </c>
      <c r="V951" s="461">
        <v>0</v>
      </c>
    </row>
    <row r="952" spans="1:22" s="455" customFormat="1" hidden="1">
      <c r="A952" s="455" t="str">
        <f t="shared" si="28"/>
        <v>14509150900000</v>
      </c>
      <c r="B952" s="455">
        <f>VLOOKUP(LEFT($C$3:$C$2600,3),Table!$D$2:$E$88,2,FALSE)</f>
        <v>0</v>
      </c>
      <c r="C952" s="455" t="str">
        <f t="shared" si="29"/>
        <v>9150900000</v>
      </c>
      <c r="D952" s="455" t="e">
        <f>VLOOKUP(G952,Table!$G$3:$H$21,2,FALSE)</f>
        <v>#N/A</v>
      </c>
      <c r="E952" s="452" t="s">
        <v>902</v>
      </c>
      <c r="F952" s="452" t="s">
        <v>1378</v>
      </c>
      <c r="G952" s="452" t="s">
        <v>1008</v>
      </c>
      <c r="H952" s="452" t="s">
        <v>966</v>
      </c>
      <c r="I952" s="453" t="s">
        <v>844</v>
      </c>
      <c r="J952" s="453">
        <v>34821</v>
      </c>
      <c r="K952" s="461">
        <v>11607</v>
      </c>
      <c r="L952" s="461">
        <v>11607</v>
      </c>
      <c r="M952" s="461">
        <v>11607</v>
      </c>
      <c r="N952" s="461">
        <v>0</v>
      </c>
      <c r="O952" s="461">
        <v>0</v>
      </c>
      <c r="P952" s="461">
        <v>0</v>
      </c>
      <c r="Q952" s="461">
        <v>0</v>
      </c>
      <c r="R952" s="461">
        <v>0</v>
      </c>
      <c r="S952" s="461">
        <v>0</v>
      </c>
      <c r="T952" s="461">
        <v>0</v>
      </c>
      <c r="U952" s="461">
        <v>0</v>
      </c>
      <c r="V952" s="461">
        <v>0</v>
      </c>
    </row>
    <row r="953" spans="1:22" s="455" customFormat="1" hidden="1">
      <c r="A953" s="455" t="str">
        <f t="shared" si="28"/>
        <v>14509151001000</v>
      </c>
      <c r="B953" s="455">
        <f>VLOOKUP(LEFT($C$3:$C$2600,3),Table!$D$2:$E$88,2,FALSE)</f>
        <v>0</v>
      </c>
      <c r="C953" s="455" t="str">
        <f t="shared" si="29"/>
        <v>9151001000</v>
      </c>
      <c r="D953" s="455" t="e">
        <f>VLOOKUP(G953,Table!$G$3:$H$21,2,FALSE)</f>
        <v>#N/A</v>
      </c>
      <c r="E953" s="452" t="s">
        <v>902</v>
      </c>
      <c r="F953" s="452" t="s">
        <v>1378</v>
      </c>
      <c r="G953" s="452" t="s">
        <v>1129</v>
      </c>
      <c r="H953" s="452" t="s">
        <v>994</v>
      </c>
      <c r="I953" s="453" t="s">
        <v>844</v>
      </c>
      <c r="J953" s="453">
        <v>24177</v>
      </c>
      <c r="K953" s="461">
        <v>7634</v>
      </c>
      <c r="L953" s="461">
        <v>8484</v>
      </c>
      <c r="M953" s="461">
        <v>8059</v>
      </c>
      <c r="N953" s="461">
        <v>0</v>
      </c>
      <c r="O953" s="461">
        <v>0</v>
      </c>
      <c r="P953" s="461">
        <v>0</v>
      </c>
      <c r="Q953" s="461">
        <v>0</v>
      </c>
      <c r="R953" s="461">
        <v>0</v>
      </c>
      <c r="S953" s="461">
        <v>0</v>
      </c>
      <c r="T953" s="461">
        <v>0</v>
      </c>
      <c r="U953" s="461">
        <v>0</v>
      </c>
      <c r="V953" s="461">
        <v>0</v>
      </c>
    </row>
    <row r="954" spans="1:22" s="455" customFormat="1" hidden="1">
      <c r="A954" s="455" t="str">
        <f t="shared" si="28"/>
        <v>14509151001100</v>
      </c>
      <c r="B954" s="455">
        <f>VLOOKUP(LEFT($C$3:$C$2600,3),Table!$D$2:$E$88,2,FALSE)</f>
        <v>0</v>
      </c>
      <c r="C954" s="455" t="str">
        <f t="shared" si="29"/>
        <v>9151001100</v>
      </c>
      <c r="D954" s="455" t="e">
        <f>VLOOKUP(G954,Table!$G$3:$H$21,2,FALSE)</f>
        <v>#N/A</v>
      </c>
      <c r="E954" s="452" t="s">
        <v>902</v>
      </c>
      <c r="F954" s="452" t="s">
        <v>1378</v>
      </c>
      <c r="G954" s="452" t="s">
        <v>1130</v>
      </c>
      <c r="H954" s="452" t="s">
        <v>1131</v>
      </c>
      <c r="I954" s="453" t="s">
        <v>844</v>
      </c>
      <c r="J954" s="453">
        <v>14898.46</v>
      </c>
      <c r="K954" s="461">
        <v>3991.18</v>
      </c>
      <c r="L954" s="461">
        <v>6158.26</v>
      </c>
      <c r="M954" s="461">
        <v>5651.48</v>
      </c>
      <c r="N954" s="461">
        <v>0</v>
      </c>
      <c r="O954" s="461">
        <v>0</v>
      </c>
      <c r="P954" s="461">
        <v>0</v>
      </c>
      <c r="Q954" s="461">
        <v>0</v>
      </c>
      <c r="R954" s="461">
        <v>0</v>
      </c>
      <c r="S954" s="461">
        <v>0</v>
      </c>
      <c r="T954" s="461">
        <v>0</v>
      </c>
      <c r="U954" s="461">
        <v>0</v>
      </c>
      <c r="V954" s="461">
        <v>0</v>
      </c>
    </row>
    <row r="955" spans="1:22" s="455" customFormat="1" hidden="1">
      <c r="A955" s="455" t="str">
        <f t="shared" si="28"/>
        <v>14509151001200</v>
      </c>
      <c r="B955" s="455">
        <f>VLOOKUP(LEFT($C$3:$C$2600,3),Table!$D$2:$E$88,2,FALSE)</f>
        <v>0</v>
      </c>
      <c r="C955" s="455" t="str">
        <f t="shared" si="29"/>
        <v>9151001200</v>
      </c>
      <c r="D955" s="455" t="e">
        <f>VLOOKUP(G955,Table!$G$3:$H$21,2,FALSE)</f>
        <v>#N/A</v>
      </c>
      <c r="E955" s="452" t="s">
        <v>902</v>
      </c>
      <c r="F955" s="452" t="s">
        <v>1378</v>
      </c>
      <c r="G955" s="452" t="s">
        <v>1132</v>
      </c>
      <c r="H955" s="452" t="s">
        <v>996</v>
      </c>
      <c r="I955" s="453" t="s">
        <v>844</v>
      </c>
      <c r="J955" s="453">
        <v>2586</v>
      </c>
      <c r="K955" s="461">
        <v>936</v>
      </c>
      <c r="L955" s="461">
        <v>846</v>
      </c>
      <c r="M955" s="461">
        <v>804</v>
      </c>
      <c r="N955" s="461">
        <v>0</v>
      </c>
      <c r="O955" s="461">
        <v>0</v>
      </c>
      <c r="P955" s="461">
        <v>0</v>
      </c>
      <c r="Q955" s="461">
        <v>0</v>
      </c>
      <c r="R955" s="461">
        <v>0</v>
      </c>
      <c r="S955" s="461">
        <v>0</v>
      </c>
      <c r="T955" s="461">
        <v>0</v>
      </c>
      <c r="U955" s="461">
        <v>0</v>
      </c>
      <c r="V955" s="461">
        <v>0</v>
      </c>
    </row>
    <row r="956" spans="1:22" s="455" customFormat="1" hidden="1">
      <c r="A956" s="455" t="str">
        <f t="shared" si="28"/>
        <v>14509151001400</v>
      </c>
      <c r="B956" s="455">
        <f>VLOOKUP(LEFT($C$3:$C$2600,3),Table!$D$2:$E$88,2,FALSE)</f>
        <v>0</v>
      </c>
      <c r="C956" s="455" t="str">
        <f t="shared" si="29"/>
        <v>9151001400</v>
      </c>
      <c r="D956" s="455" t="e">
        <f>VLOOKUP(G956,Table!$G$3:$H$21,2,FALSE)</f>
        <v>#N/A</v>
      </c>
      <c r="E956" s="452" t="s">
        <v>902</v>
      </c>
      <c r="F956" s="452" t="s">
        <v>1378</v>
      </c>
      <c r="G956" s="452" t="s">
        <v>1133</v>
      </c>
      <c r="H956" s="452" t="s">
        <v>998</v>
      </c>
      <c r="I956" s="453" t="s">
        <v>844</v>
      </c>
      <c r="J956" s="453">
        <v>4200</v>
      </c>
      <c r="K956" s="461">
        <v>1352</v>
      </c>
      <c r="L956" s="461">
        <v>1461</v>
      </c>
      <c r="M956" s="461">
        <v>1387</v>
      </c>
      <c r="N956" s="461">
        <v>0</v>
      </c>
      <c r="O956" s="461">
        <v>0</v>
      </c>
      <c r="P956" s="461">
        <v>0</v>
      </c>
      <c r="Q956" s="461">
        <v>0</v>
      </c>
      <c r="R956" s="461">
        <v>0</v>
      </c>
      <c r="S956" s="461">
        <v>0</v>
      </c>
      <c r="T956" s="461">
        <v>0</v>
      </c>
      <c r="U956" s="461">
        <v>0</v>
      </c>
      <c r="V956" s="461">
        <v>0</v>
      </c>
    </row>
    <row r="957" spans="1:22" s="455" customFormat="1" hidden="1">
      <c r="A957" s="455" t="str">
        <f t="shared" si="28"/>
        <v>14509151001500</v>
      </c>
      <c r="B957" s="455">
        <f>VLOOKUP(LEFT($C$3:$C$2600,3),Table!$D$2:$E$88,2,FALSE)</f>
        <v>0</v>
      </c>
      <c r="C957" s="455" t="str">
        <f t="shared" si="29"/>
        <v>9151001500</v>
      </c>
      <c r="D957" s="455" t="e">
        <f>VLOOKUP(G957,Table!$G$3:$H$21,2,FALSE)</f>
        <v>#N/A</v>
      </c>
      <c r="E957" s="452" t="s">
        <v>902</v>
      </c>
      <c r="F957" s="452" t="s">
        <v>1378</v>
      </c>
      <c r="G957" s="452" t="s">
        <v>1135</v>
      </c>
      <c r="H957" s="452" t="s">
        <v>1136</v>
      </c>
      <c r="I957" s="453" t="s">
        <v>844</v>
      </c>
      <c r="J957" s="453">
        <v>768.4</v>
      </c>
      <c r="K957" s="461">
        <v>234.6</v>
      </c>
      <c r="L957" s="461">
        <v>266</v>
      </c>
      <c r="M957" s="461">
        <v>267.8</v>
      </c>
      <c r="N957" s="461">
        <v>0</v>
      </c>
      <c r="O957" s="461">
        <v>0</v>
      </c>
      <c r="P957" s="461">
        <v>0</v>
      </c>
      <c r="Q957" s="461">
        <v>0</v>
      </c>
      <c r="R957" s="461">
        <v>0</v>
      </c>
      <c r="S957" s="461">
        <v>0</v>
      </c>
      <c r="T957" s="461">
        <v>0</v>
      </c>
      <c r="U957" s="461">
        <v>0</v>
      </c>
      <c r="V957" s="461">
        <v>0</v>
      </c>
    </row>
    <row r="958" spans="1:22" s="455" customFormat="1" hidden="1">
      <c r="A958" s="455" t="str">
        <f t="shared" si="28"/>
        <v>14509151001600</v>
      </c>
      <c r="B958" s="455">
        <f>VLOOKUP(LEFT($C$3:$C$2600,3),Table!$D$2:$E$88,2,FALSE)</f>
        <v>0</v>
      </c>
      <c r="C958" s="455" t="str">
        <f t="shared" si="29"/>
        <v>9151001600</v>
      </c>
      <c r="D958" s="455" t="e">
        <f>VLOOKUP(G958,Table!$G$3:$H$21,2,FALSE)</f>
        <v>#N/A</v>
      </c>
      <c r="E958" s="452" t="s">
        <v>902</v>
      </c>
      <c r="F958" s="452" t="s">
        <v>1378</v>
      </c>
      <c r="G958" s="452" t="s">
        <v>1137</v>
      </c>
      <c r="H958" s="452" t="s">
        <v>1002</v>
      </c>
      <c r="I958" s="453" t="s">
        <v>844</v>
      </c>
      <c r="J958" s="453">
        <v>5419.28</v>
      </c>
      <c r="K958" s="461">
        <v>1741.78</v>
      </c>
      <c r="L958" s="461">
        <v>1838.75</v>
      </c>
      <c r="M958" s="461">
        <v>1838.75</v>
      </c>
      <c r="N958" s="461">
        <v>0</v>
      </c>
      <c r="O958" s="461">
        <v>0</v>
      </c>
      <c r="P958" s="461">
        <v>0</v>
      </c>
      <c r="Q958" s="461">
        <v>0</v>
      </c>
      <c r="R958" s="461">
        <v>0</v>
      </c>
      <c r="S958" s="461">
        <v>0</v>
      </c>
      <c r="T958" s="461">
        <v>0</v>
      </c>
      <c r="U958" s="461">
        <v>0</v>
      </c>
      <c r="V958" s="461">
        <v>0</v>
      </c>
    </row>
    <row r="959" spans="1:22" s="455" customFormat="1" hidden="1">
      <c r="A959" s="455" t="str">
        <f t="shared" si="28"/>
        <v>14509151001700</v>
      </c>
      <c r="B959" s="455">
        <f>VLOOKUP(LEFT($C$3:$C$2600,3),Table!$D$2:$E$88,2,FALSE)</f>
        <v>0</v>
      </c>
      <c r="C959" s="455" t="str">
        <f t="shared" si="29"/>
        <v>9151001700</v>
      </c>
      <c r="D959" s="455" t="e">
        <f>VLOOKUP(G959,Table!$G$3:$H$21,2,FALSE)</f>
        <v>#N/A</v>
      </c>
      <c r="E959" s="452" t="s">
        <v>902</v>
      </c>
      <c r="F959" s="452" t="s">
        <v>1378</v>
      </c>
      <c r="G959" s="452" t="s">
        <v>1138</v>
      </c>
      <c r="H959" s="452" t="s">
        <v>1313</v>
      </c>
      <c r="I959" s="453" t="s">
        <v>844</v>
      </c>
      <c r="J959" s="453">
        <v>-7773.2</v>
      </c>
      <c r="K959" s="461">
        <v>466.06</v>
      </c>
      <c r="L959" s="461">
        <v>322.58999999999997</v>
      </c>
      <c r="M959" s="461">
        <v>308.64999999999998</v>
      </c>
      <c r="N959" s="461">
        <v>0</v>
      </c>
      <c r="O959" s="461">
        <v>0</v>
      </c>
      <c r="P959" s="461">
        <v>0</v>
      </c>
      <c r="Q959" s="461">
        <v>0</v>
      </c>
      <c r="R959" s="461">
        <v>0</v>
      </c>
      <c r="S959" s="461">
        <v>0</v>
      </c>
      <c r="T959" s="461">
        <v>0</v>
      </c>
      <c r="U959" s="461">
        <v>0</v>
      </c>
      <c r="V959" s="461">
        <v>0</v>
      </c>
    </row>
    <row r="960" spans="1:22" s="455" customFormat="1" hidden="1">
      <c r="A960" s="455" t="str">
        <f t="shared" si="28"/>
        <v>14509151001800</v>
      </c>
      <c r="B960" s="455">
        <f>VLOOKUP(LEFT($C$3:$C$2600,3),Table!$D$2:$E$88,2,FALSE)</f>
        <v>0</v>
      </c>
      <c r="C960" s="455" t="str">
        <f t="shared" si="29"/>
        <v>9151001800</v>
      </c>
      <c r="D960" s="455" t="e">
        <f>VLOOKUP(G960,Table!$G$3:$H$21,2,FALSE)</f>
        <v>#N/A</v>
      </c>
      <c r="E960" s="452" t="s">
        <v>902</v>
      </c>
      <c r="F960" s="452" t="s">
        <v>1378</v>
      </c>
      <c r="G960" s="452" t="s">
        <v>1139</v>
      </c>
      <c r="H960" s="452" t="s">
        <v>1005</v>
      </c>
      <c r="I960" s="453" t="s">
        <v>844</v>
      </c>
      <c r="J960" s="453">
        <v>4596.72</v>
      </c>
      <c r="K960" s="461">
        <v>1507.8</v>
      </c>
      <c r="L960" s="461">
        <v>1623.32</v>
      </c>
      <c r="M960" s="461">
        <v>1465.6</v>
      </c>
      <c r="N960" s="461">
        <v>0</v>
      </c>
      <c r="O960" s="461">
        <v>0</v>
      </c>
      <c r="P960" s="461">
        <v>0</v>
      </c>
      <c r="Q960" s="461">
        <v>0</v>
      </c>
      <c r="R960" s="461">
        <v>0</v>
      </c>
      <c r="S960" s="461">
        <v>0</v>
      </c>
      <c r="T960" s="461">
        <v>0</v>
      </c>
      <c r="U960" s="461">
        <v>0</v>
      </c>
      <c r="V960" s="461">
        <v>0</v>
      </c>
    </row>
    <row r="961" spans="1:22" s="455" customFormat="1" hidden="1">
      <c r="A961" s="455" t="str">
        <f t="shared" si="28"/>
        <v>14509151001900</v>
      </c>
      <c r="B961" s="455">
        <f>VLOOKUP(LEFT($C$3:$C$2600,3),Table!$D$2:$E$88,2,FALSE)</f>
        <v>0</v>
      </c>
      <c r="C961" s="455" t="str">
        <f t="shared" si="29"/>
        <v>9151001900</v>
      </c>
      <c r="D961" s="455" t="e">
        <f>VLOOKUP(G961,Table!$G$3:$H$21,2,FALSE)</f>
        <v>#N/A</v>
      </c>
      <c r="E961" s="452" t="s">
        <v>902</v>
      </c>
      <c r="F961" s="452" t="s">
        <v>1378</v>
      </c>
      <c r="G961" s="452" t="s">
        <v>1140</v>
      </c>
      <c r="H961" s="452" t="s">
        <v>1007</v>
      </c>
      <c r="I961" s="453" t="s">
        <v>844</v>
      </c>
      <c r="J961" s="453">
        <v>281.38</v>
      </c>
      <c r="K961" s="461">
        <v>91.7</v>
      </c>
      <c r="L961" s="461">
        <v>95.05</v>
      </c>
      <c r="M961" s="461">
        <v>94.63</v>
      </c>
      <c r="N961" s="461">
        <v>0</v>
      </c>
      <c r="O961" s="461">
        <v>0</v>
      </c>
      <c r="P961" s="461">
        <v>0</v>
      </c>
      <c r="Q961" s="461">
        <v>0</v>
      </c>
      <c r="R961" s="461">
        <v>0</v>
      </c>
      <c r="S961" s="461">
        <v>0</v>
      </c>
      <c r="T961" s="461">
        <v>0</v>
      </c>
      <c r="U961" s="461">
        <v>0</v>
      </c>
      <c r="V961" s="461">
        <v>0</v>
      </c>
    </row>
    <row r="962" spans="1:22" s="455" customFormat="1" hidden="1">
      <c r="A962" s="455" t="str">
        <f t="shared" si="28"/>
        <v>14509151301500</v>
      </c>
      <c r="B962" s="455">
        <f>VLOOKUP(LEFT($C$3:$C$2600,3),Table!$D$2:$E$88,2,FALSE)</f>
        <v>0</v>
      </c>
      <c r="C962" s="455" t="str">
        <f t="shared" si="29"/>
        <v>9151301500</v>
      </c>
      <c r="D962" s="455" t="e">
        <f>VLOOKUP(G962,Table!$G$3:$H$21,2,FALSE)</f>
        <v>#N/A</v>
      </c>
      <c r="E962" s="452" t="s">
        <v>902</v>
      </c>
      <c r="F962" s="452" t="s">
        <v>1378</v>
      </c>
      <c r="G962" s="452" t="s">
        <v>1152</v>
      </c>
      <c r="H962" s="452" t="s">
        <v>1153</v>
      </c>
      <c r="I962" s="453" t="s">
        <v>844</v>
      </c>
      <c r="J962" s="453">
        <v>1200</v>
      </c>
      <c r="K962" s="461">
        <v>1200</v>
      </c>
      <c r="L962" s="461">
        <v>0</v>
      </c>
      <c r="M962" s="461">
        <v>0</v>
      </c>
      <c r="N962" s="461">
        <v>0</v>
      </c>
      <c r="O962" s="461">
        <v>0</v>
      </c>
      <c r="P962" s="461">
        <v>0</v>
      </c>
      <c r="Q962" s="461">
        <v>0</v>
      </c>
      <c r="R962" s="461">
        <v>0</v>
      </c>
      <c r="S962" s="461">
        <v>0</v>
      </c>
      <c r="T962" s="461">
        <v>0</v>
      </c>
      <c r="U962" s="461">
        <v>0</v>
      </c>
      <c r="V962" s="461">
        <v>0</v>
      </c>
    </row>
    <row r="963" spans="1:22" s="455" customFormat="1" hidden="1">
      <c r="A963" s="455" t="str">
        <f t="shared" si="28"/>
        <v>14509151302500</v>
      </c>
      <c r="B963" s="455">
        <f>VLOOKUP(LEFT($C$3:$C$2600,3),Table!$D$2:$E$88,2,FALSE)</f>
        <v>0</v>
      </c>
      <c r="C963" s="455" t="str">
        <f t="shared" si="29"/>
        <v>9151302500</v>
      </c>
      <c r="D963" s="455" t="e">
        <f>VLOOKUP(G963,Table!$G$3:$H$21,2,FALSE)</f>
        <v>#N/A</v>
      </c>
      <c r="E963" s="452" t="s">
        <v>902</v>
      </c>
      <c r="F963" s="452" t="s">
        <v>1378</v>
      </c>
      <c r="G963" s="452" t="s">
        <v>1154</v>
      </c>
      <c r="H963" s="452" t="s">
        <v>1155</v>
      </c>
      <c r="I963" s="453" t="s">
        <v>844</v>
      </c>
      <c r="J963" s="453">
        <v>102</v>
      </c>
      <c r="K963" s="461">
        <v>0</v>
      </c>
      <c r="L963" s="461">
        <v>102</v>
      </c>
      <c r="M963" s="461">
        <v>0</v>
      </c>
      <c r="N963" s="461">
        <v>0</v>
      </c>
      <c r="O963" s="461">
        <v>0</v>
      </c>
      <c r="P963" s="461">
        <v>0</v>
      </c>
      <c r="Q963" s="461">
        <v>0</v>
      </c>
      <c r="R963" s="461">
        <v>0</v>
      </c>
      <c r="S963" s="461">
        <v>0</v>
      </c>
      <c r="T963" s="461">
        <v>0</v>
      </c>
      <c r="U963" s="461">
        <v>0</v>
      </c>
      <c r="V963" s="461">
        <v>0</v>
      </c>
    </row>
    <row r="964" spans="1:22" s="455" customFormat="1" hidden="1">
      <c r="A964" s="455" t="str">
        <f t="shared" ref="A964:A1027" si="30">F964&amp;G964</f>
        <v>14509151501100</v>
      </c>
      <c r="B964" s="455">
        <f>VLOOKUP(LEFT($C$3:$C$2600,3),Table!$D$2:$E$88,2,FALSE)</f>
        <v>0</v>
      </c>
      <c r="C964" s="455" t="str">
        <f t="shared" ref="C964:C1027" si="31">IF(ISNA(D964),G964,D964)</f>
        <v>9151501100</v>
      </c>
      <c r="D964" s="455" t="e">
        <f>VLOOKUP(G964,Table!$G$3:$H$21,2,FALSE)</f>
        <v>#N/A</v>
      </c>
      <c r="E964" s="452" t="s">
        <v>902</v>
      </c>
      <c r="F964" s="452" t="s">
        <v>1378</v>
      </c>
      <c r="G964" s="452" t="s">
        <v>1009</v>
      </c>
      <c r="H964" s="452" t="s">
        <v>1379</v>
      </c>
      <c r="I964" s="453" t="s">
        <v>844</v>
      </c>
      <c r="J964" s="453">
        <v>203.4</v>
      </c>
      <c r="K964" s="461">
        <v>0</v>
      </c>
      <c r="L964" s="461">
        <v>203.4</v>
      </c>
      <c r="M964" s="461">
        <v>0</v>
      </c>
      <c r="N964" s="461">
        <v>0</v>
      </c>
      <c r="O964" s="461">
        <v>0</v>
      </c>
      <c r="P964" s="461">
        <v>0</v>
      </c>
      <c r="Q964" s="461">
        <v>0</v>
      </c>
      <c r="R964" s="461">
        <v>0</v>
      </c>
      <c r="S964" s="461">
        <v>0</v>
      </c>
      <c r="T964" s="461">
        <v>0</v>
      </c>
      <c r="U964" s="461">
        <v>0</v>
      </c>
      <c r="V964" s="461">
        <v>0</v>
      </c>
    </row>
    <row r="965" spans="1:22" s="455" customFormat="1" hidden="1">
      <c r="A965" s="455" t="str">
        <f t="shared" si="30"/>
        <v>14509151501400</v>
      </c>
      <c r="B965" s="455">
        <f>VLOOKUP(LEFT($C$3:$C$2600,3),Table!$D$2:$E$88,2,FALSE)</f>
        <v>0</v>
      </c>
      <c r="C965" s="455" t="str">
        <f t="shared" si="31"/>
        <v>9151501400</v>
      </c>
      <c r="D965" s="455" t="e">
        <f>VLOOKUP(G965,Table!$G$3:$H$21,2,FALSE)</f>
        <v>#N/A</v>
      </c>
      <c r="E965" s="452" t="s">
        <v>902</v>
      </c>
      <c r="F965" s="452" t="s">
        <v>1378</v>
      </c>
      <c r="G965" s="452" t="s">
        <v>1011</v>
      </c>
      <c r="H965" s="452" t="s">
        <v>1012</v>
      </c>
      <c r="I965" s="453" t="s">
        <v>844</v>
      </c>
      <c r="J965" s="453">
        <v>28.4</v>
      </c>
      <c r="K965" s="461">
        <v>0</v>
      </c>
      <c r="L965" s="461">
        <v>28.4</v>
      </c>
      <c r="M965" s="461">
        <v>0</v>
      </c>
      <c r="N965" s="461">
        <v>0</v>
      </c>
      <c r="O965" s="461">
        <v>0</v>
      </c>
      <c r="P965" s="461">
        <v>0</v>
      </c>
      <c r="Q965" s="461">
        <v>0</v>
      </c>
      <c r="R965" s="461">
        <v>0</v>
      </c>
      <c r="S965" s="461">
        <v>0</v>
      </c>
      <c r="T965" s="461">
        <v>0</v>
      </c>
      <c r="U965" s="461">
        <v>0</v>
      </c>
      <c r="V965" s="461">
        <v>0</v>
      </c>
    </row>
    <row r="966" spans="1:22" s="455" customFormat="1" hidden="1">
      <c r="A966" s="455" t="str">
        <f t="shared" si="30"/>
        <v>14509151601001</v>
      </c>
      <c r="B966" s="455">
        <f>VLOOKUP(LEFT($C$3:$C$2600,3),Table!$D$2:$E$88,2,FALSE)</f>
        <v>0</v>
      </c>
      <c r="C966" s="455" t="str">
        <f t="shared" si="31"/>
        <v>9151601001</v>
      </c>
      <c r="D966" s="455" t="e">
        <f>VLOOKUP(G966,Table!$G$3:$H$21,2,FALSE)</f>
        <v>#N/A</v>
      </c>
      <c r="E966" s="452" t="s">
        <v>902</v>
      </c>
      <c r="F966" s="452" t="s">
        <v>1378</v>
      </c>
      <c r="G966" s="452" t="s">
        <v>1015</v>
      </c>
      <c r="H966" s="452" t="s">
        <v>1016</v>
      </c>
      <c r="I966" s="453" t="s">
        <v>844</v>
      </c>
      <c r="J966" s="453">
        <v>25.5</v>
      </c>
      <c r="K966" s="461">
        <v>0</v>
      </c>
      <c r="L966" s="461">
        <v>0</v>
      </c>
      <c r="M966" s="461">
        <v>25.5</v>
      </c>
      <c r="N966" s="461">
        <v>0</v>
      </c>
      <c r="O966" s="461">
        <v>0</v>
      </c>
      <c r="P966" s="461">
        <v>0</v>
      </c>
      <c r="Q966" s="461">
        <v>0</v>
      </c>
      <c r="R966" s="461">
        <v>0</v>
      </c>
      <c r="S966" s="461">
        <v>0</v>
      </c>
      <c r="T966" s="461">
        <v>0</v>
      </c>
      <c r="U966" s="461">
        <v>0</v>
      </c>
      <c r="V966" s="461">
        <v>0</v>
      </c>
    </row>
    <row r="967" spans="1:22" s="455" customFormat="1" hidden="1">
      <c r="A967" s="455" t="str">
        <f t="shared" si="30"/>
        <v>14509151801100</v>
      </c>
      <c r="B967" s="455">
        <f>VLOOKUP(LEFT($C$3:$C$2600,3),Table!$D$2:$E$88,2,FALSE)</f>
        <v>0</v>
      </c>
      <c r="C967" s="455" t="str">
        <f t="shared" si="31"/>
        <v>9151801100</v>
      </c>
      <c r="D967" s="455" t="e">
        <f>VLOOKUP(G967,Table!$G$3:$H$21,2,FALSE)</f>
        <v>#N/A</v>
      </c>
      <c r="E967" s="452" t="s">
        <v>902</v>
      </c>
      <c r="F967" s="452" t="s">
        <v>1378</v>
      </c>
      <c r="G967" s="452" t="s">
        <v>1017</v>
      </c>
      <c r="H967" s="452" t="s">
        <v>1018</v>
      </c>
      <c r="I967" s="453" t="s">
        <v>844</v>
      </c>
      <c r="J967" s="453">
        <v>440</v>
      </c>
      <c r="K967" s="461">
        <v>150</v>
      </c>
      <c r="L967" s="461">
        <v>290</v>
      </c>
      <c r="M967" s="461">
        <v>0</v>
      </c>
      <c r="N967" s="461">
        <v>0</v>
      </c>
      <c r="O967" s="461">
        <v>0</v>
      </c>
      <c r="P967" s="461">
        <v>0</v>
      </c>
      <c r="Q967" s="461">
        <v>0</v>
      </c>
      <c r="R967" s="461">
        <v>0</v>
      </c>
      <c r="S967" s="461">
        <v>0</v>
      </c>
      <c r="T967" s="461">
        <v>0</v>
      </c>
      <c r="U967" s="461">
        <v>0</v>
      </c>
      <c r="V967" s="461">
        <v>0</v>
      </c>
    </row>
    <row r="968" spans="1:22" s="455" customFormat="1" hidden="1">
      <c r="A968" s="455" t="str">
        <f t="shared" si="30"/>
        <v>14509151801800</v>
      </c>
      <c r="B968" s="455">
        <f>VLOOKUP(LEFT($C$3:$C$2600,3),Table!$D$2:$E$88,2,FALSE)</f>
        <v>0</v>
      </c>
      <c r="C968" s="455" t="str">
        <f t="shared" si="31"/>
        <v>9151801800</v>
      </c>
      <c r="D968" s="455" t="e">
        <f>VLOOKUP(G968,Table!$G$3:$H$21,2,FALSE)</f>
        <v>#N/A</v>
      </c>
      <c r="E968" s="452" t="s">
        <v>902</v>
      </c>
      <c r="F968" s="452" t="s">
        <v>1378</v>
      </c>
      <c r="G968" s="452" t="s">
        <v>1374</v>
      </c>
      <c r="H968" s="452" t="s">
        <v>1375</v>
      </c>
      <c r="I968" s="453" t="s">
        <v>844</v>
      </c>
      <c r="J968" s="453">
        <v>250</v>
      </c>
      <c r="K968" s="461">
        <v>250</v>
      </c>
      <c r="L968" s="461">
        <v>0</v>
      </c>
      <c r="M968" s="461">
        <v>0</v>
      </c>
      <c r="N968" s="461">
        <v>0</v>
      </c>
      <c r="O968" s="461">
        <v>0</v>
      </c>
      <c r="P968" s="461">
        <v>0</v>
      </c>
      <c r="Q968" s="461">
        <v>0</v>
      </c>
      <c r="R968" s="461">
        <v>0</v>
      </c>
      <c r="S968" s="461">
        <v>0</v>
      </c>
      <c r="T968" s="461">
        <v>0</v>
      </c>
      <c r="U968" s="461">
        <v>0</v>
      </c>
      <c r="V968" s="461">
        <v>0</v>
      </c>
    </row>
    <row r="969" spans="1:22" s="455" customFormat="1" hidden="1">
      <c r="A969" s="455" t="str">
        <f t="shared" si="30"/>
        <v>14509152401900</v>
      </c>
      <c r="B969" s="455">
        <f>VLOOKUP(LEFT($C$3:$C$2600,3),Table!$D$2:$E$88,2,FALSE)</f>
        <v>0</v>
      </c>
      <c r="C969" s="455" t="str">
        <f t="shared" si="31"/>
        <v>9152401900</v>
      </c>
      <c r="D969" s="455" t="e">
        <f>VLOOKUP(G969,Table!$G$3:$H$21,2,FALSE)</f>
        <v>#N/A</v>
      </c>
      <c r="E969" s="452" t="s">
        <v>902</v>
      </c>
      <c r="F969" s="452" t="s">
        <v>1378</v>
      </c>
      <c r="G969" s="452" t="s">
        <v>1458</v>
      </c>
      <c r="H969" s="452" t="s">
        <v>1459</v>
      </c>
      <c r="I969" s="453" t="s">
        <v>844</v>
      </c>
      <c r="J969" s="453">
        <v>0</v>
      </c>
      <c r="K969" s="461">
        <v>0</v>
      </c>
      <c r="L969" s="461">
        <v>240</v>
      </c>
      <c r="M969" s="461">
        <v>0</v>
      </c>
      <c r="N969" s="461">
        <v>0</v>
      </c>
      <c r="O969" s="461">
        <v>0</v>
      </c>
      <c r="P969" s="461">
        <v>0</v>
      </c>
      <c r="Q969" s="461">
        <v>0</v>
      </c>
      <c r="R969" s="461">
        <v>0</v>
      </c>
      <c r="S969" s="461">
        <v>0</v>
      </c>
      <c r="T969" s="461">
        <v>0</v>
      </c>
      <c r="U969" s="461">
        <v>0</v>
      </c>
      <c r="V969" s="461">
        <v>0</v>
      </c>
    </row>
    <row r="970" spans="1:22" s="455" customFormat="1" hidden="1">
      <c r="A970" s="455" t="str">
        <f t="shared" si="30"/>
        <v>14509153001000</v>
      </c>
      <c r="B970" s="455">
        <f>VLOOKUP(LEFT($C$3:$C$2600,3),Table!$D$2:$E$88,2,FALSE)</f>
        <v>0</v>
      </c>
      <c r="C970" s="455" t="str">
        <f t="shared" si="31"/>
        <v>9153001000</v>
      </c>
      <c r="D970" s="455" t="e">
        <f>VLOOKUP(G970,Table!$G$3:$H$21,2,FALSE)</f>
        <v>#N/A</v>
      </c>
      <c r="E970" s="452" t="s">
        <v>902</v>
      </c>
      <c r="F970" s="452" t="s">
        <v>1378</v>
      </c>
      <c r="G970" s="452" t="s">
        <v>1043</v>
      </c>
      <c r="H970" s="452" t="s">
        <v>1044</v>
      </c>
      <c r="I970" s="453" t="s">
        <v>844</v>
      </c>
      <c r="J970" s="453">
        <v>4320</v>
      </c>
      <c r="K970" s="461">
        <v>1440</v>
      </c>
      <c r="L970" s="461">
        <v>1440</v>
      </c>
      <c r="M970" s="461">
        <v>1440</v>
      </c>
      <c r="N970" s="461">
        <v>0</v>
      </c>
      <c r="O970" s="461">
        <v>0</v>
      </c>
      <c r="P970" s="461">
        <v>0</v>
      </c>
      <c r="Q970" s="461">
        <v>0</v>
      </c>
      <c r="R970" s="461">
        <v>0</v>
      </c>
      <c r="S970" s="461">
        <v>0</v>
      </c>
      <c r="T970" s="461">
        <v>0</v>
      </c>
      <c r="U970" s="461">
        <v>0</v>
      </c>
      <c r="V970" s="461">
        <v>0</v>
      </c>
    </row>
    <row r="971" spans="1:22" s="455" customFormat="1" hidden="1">
      <c r="A971" s="455" t="str">
        <f t="shared" si="30"/>
        <v>14609150801000</v>
      </c>
      <c r="B971" s="455">
        <f>VLOOKUP(LEFT($C$3:$C$2600,3),Table!$D$2:$E$88,2,FALSE)</f>
        <v>0</v>
      </c>
      <c r="C971" s="455" t="str">
        <f t="shared" si="31"/>
        <v>9150801000</v>
      </c>
      <c r="D971" s="455" t="e">
        <f>VLOOKUP(G971,Table!$G$3:$H$21,2,FALSE)</f>
        <v>#N/A</v>
      </c>
      <c r="E971" s="452" t="s">
        <v>902</v>
      </c>
      <c r="F971" s="452" t="s">
        <v>1384</v>
      </c>
      <c r="G971" s="452" t="s">
        <v>993</v>
      </c>
      <c r="H971" s="452" t="s">
        <v>994</v>
      </c>
      <c r="I971" s="453" t="s">
        <v>844</v>
      </c>
      <c r="J971" s="453">
        <v>34026.92</v>
      </c>
      <c r="K971" s="461">
        <v>11450</v>
      </c>
      <c r="L971" s="461">
        <v>11450</v>
      </c>
      <c r="M971" s="461">
        <v>11126.92</v>
      </c>
      <c r="N971" s="461">
        <v>0</v>
      </c>
      <c r="O971" s="461">
        <v>0</v>
      </c>
      <c r="P971" s="461">
        <v>0</v>
      </c>
      <c r="Q971" s="461">
        <v>0</v>
      </c>
      <c r="R971" s="461">
        <v>0</v>
      </c>
      <c r="S971" s="461">
        <v>0</v>
      </c>
      <c r="T971" s="461">
        <v>0</v>
      </c>
      <c r="U971" s="461">
        <v>0</v>
      </c>
      <c r="V971" s="461">
        <v>0</v>
      </c>
    </row>
    <row r="972" spans="1:22" s="455" customFormat="1" hidden="1">
      <c r="A972" s="455" t="str">
        <f t="shared" si="30"/>
        <v>14609150801400</v>
      </c>
      <c r="B972" s="455">
        <f>VLOOKUP(LEFT($C$3:$C$2600,3),Table!$D$2:$E$88,2,FALSE)</f>
        <v>0</v>
      </c>
      <c r="C972" s="455" t="str">
        <f t="shared" si="31"/>
        <v>9150801400</v>
      </c>
      <c r="D972" s="455" t="e">
        <f>VLOOKUP(G972,Table!$G$3:$H$21,2,FALSE)</f>
        <v>#N/A</v>
      </c>
      <c r="E972" s="452" t="s">
        <v>902</v>
      </c>
      <c r="F972" s="452" t="s">
        <v>1384</v>
      </c>
      <c r="G972" s="452" t="s">
        <v>997</v>
      </c>
      <c r="H972" s="452" t="s">
        <v>998</v>
      </c>
      <c r="I972" s="453" t="s">
        <v>844</v>
      </c>
      <c r="J972" s="453">
        <v>4738</v>
      </c>
      <c r="K972" s="461">
        <v>1593</v>
      </c>
      <c r="L972" s="461">
        <v>1593</v>
      </c>
      <c r="M972" s="461">
        <v>1552</v>
      </c>
      <c r="N972" s="461">
        <v>0</v>
      </c>
      <c r="O972" s="461">
        <v>0</v>
      </c>
      <c r="P972" s="461">
        <v>0</v>
      </c>
      <c r="Q972" s="461">
        <v>0</v>
      </c>
      <c r="R972" s="461">
        <v>0</v>
      </c>
      <c r="S972" s="461">
        <v>0</v>
      </c>
      <c r="T972" s="461">
        <v>0</v>
      </c>
      <c r="U972" s="461">
        <v>0</v>
      </c>
      <c r="V972" s="461">
        <v>0</v>
      </c>
    </row>
    <row r="973" spans="1:22" s="455" customFormat="1" hidden="1">
      <c r="A973" s="455" t="str">
        <f t="shared" si="30"/>
        <v>14609150801500</v>
      </c>
      <c r="B973" s="455">
        <f>VLOOKUP(LEFT($C$3:$C$2600,3),Table!$D$2:$E$88,2,FALSE)</f>
        <v>0</v>
      </c>
      <c r="C973" s="455" t="str">
        <f t="shared" si="31"/>
        <v>9150801500</v>
      </c>
      <c r="D973" s="455" t="e">
        <f>VLOOKUP(G973,Table!$G$3:$H$21,2,FALSE)</f>
        <v>#N/A</v>
      </c>
      <c r="E973" s="452" t="s">
        <v>902</v>
      </c>
      <c r="F973" s="452" t="s">
        <v>1384</v>
      </c>
      <c r="G973" s="452" t="s">
        <v>999</v>
      </c>
      <c r="H973" s="452" t="s">
        <v>1000</v>
      </c>
      <c r="I973" s="453" t="s">
        <v>844</v>
      </c>
      <c r="J973" s="453">
        <v>509.4</v>
      </c>
      <c r="K973" s="461">
        <v>169.8</v>
      </c>
      <c r="L973" s="461">
        <v>169.8</v>
      </c>
      <c r="M973" s="461">
        <v>169.8</v>
      </c>
      <c r="N973" s="461">
        <v>0</v>
      </c>
      <c r="O973" s="461">
        <v>0</v>
      </c>
      <c r="P973" s="461">
        <v>0</v>
      </c>
      <c r="Q973" s="461">
        <v>0</v>
      </c>
      <c r="R973" s="461">
        <v>0</v>
      </c>
      <c r="S973" s="461">
        <v>0</v>
      </c>
      <c r="T973" s="461">
        <v>0</v>
      </c>
      <c r="U973" s="461">
        <v>0</v>
      </c>
      <c r="V973" s="461">
        <v>0</v>
      </c>
    </row>
    <row r="974" spans="1:22" s="455" customFormat="1" hidden="1">
      <c r="A974" s="455" t="str">
        <f t="shared" si="30"/>
        <v>14609150801600</v>
      </c>
      <c r="B974" s="455">
        <f>VLOOKUP(LEFT($C$3:$C$2600,3),Table!$D$2:$E$88,2,FALSE)</f>
        <v>0</v>
      </c>
      <c r="C974" s="455" t="str">
        <f t="shared" si="31"/>
        <v>9150801600</v>
      </c>
      <c r="D974" s="455" t="e">
        <f>VLOOKUP(G974,Table!$G$3:$H$21,2,FALSE)</f>
        <v>#N/A</v>
      </c>
      <c r="E974" s="452" t="s">
        <v>902</v>
      </c>
      <c r="F974" s="452" t="s">
        <v>1384</v>
      </c>
      <c r="G974" s="452" t="s">
        <v>1001</v>
      </c>
      <c r="H974" s="452" t="s">
        <v>1002</v>
      </c>
      <c r="I974" s="453" t="s">
        <v>844</v>
      </c>
      <c r="J974" s="453">
        <v>11268</v>
      </c>
      <c r="K974" s="461">
        <v>3756</v>
      </c>
      <c r="L974" s="461">
        <v>3756</v>
      </c>
      <c r="M974" s="461">
        <v>3756</v>
      </c>
      <c r="N974" s="461">
        <v>0</v>
      </c>
      <c r="O974" s="461">
        <v>0</v>
      </c>
      <c r="P974" s="461">
        <v>0</v>
      </c>
      <c r="Q974" s="461">
        <v>0</v>
      </c>
      <c r="R974" s="461">
        <v>0</v>
      </c>
      <c r="S974" s="461">
        <v>0</v>
      </c>
      <c r="T974" s="461">
        <v>0</v>
      </c>
      <c r="U974" s="461">
        <v>0</v>
      </c>
      <c r="V974" s="461">
        <v>0</v>
      </c>
    </row>
    <row r="975" spans="1:22" s="455" customFormat="1" hidden="1">
      <c r="A975" s="455" t="str">
        <f t="shared" si="30"/>
        <v>14609150801800</v>
      </c>
      <c r="B975" s="455">
        <f>VLOOKUP(LEFT($C$3:$C$2600,3),Table!$D$2:$E$88,2,FALSE)</f>
        <v>0</v>
      </c>
      <c r="C975" s="455" t="str">
        <f t="shared" si="31"/>
        <v>9150801800</v>
      </c>
      <c r="D975" s="455" t="e">
        <f>VLOOKUP(G975,Table!$G$3:$H$21,2,FALSE)</f>
        <v>#N/A</v>
      </c>
      <c r="E975" s="452" t="s">
        <v>902</v>
      </c>
      <c r="F975" s="452" t="s">
        <v>1384</v>
      </c>
      <c r="G975" s="452" t="s">
        <v>1004</v>
      </c>
      <c r="H975" s="452" t="s">
        <v>1005</v>
      </c>
      <c r="I975" s="453" t="s">
        <v>844</v>
      </c>
      <c r="J975" s="453">
        <v>360</v>
      </c>
      <c r="K975" s="461">
        <v>120</v>
      </c>
      <c r="L975" s="461">
        <v>120</v>
      </c>
      <c r="M975" s="461">
        <v>120</v>
      </c>
      <c r="N975" s="461">
        <v>0</v>
      </c>
      <c r="O975" s="461">
        <v>0</v>
      </c>
      <c r="P975" s="461">
        <v>0</v>
      </c>
      <c r="Q975" s="461">
        <v>0</v>
      </c>
      <c r="R975" s="461">
        <v>0</v>
      </c>
      <c r="S975" s="461">
        <v>0</v>
      </c>
      <c r="T975" s="461">
        <v>0</v>
      </c>
      <c r="U975" s="461">
        <v>0</v>
      </c>
      <c r="V975" s="461">
        <v>0</v>
      </c>
    </row>
    <row r="976" spans="1:22" s="455" customFormat="1" hidden="1">
      <c r="A976" s="455" t="str">
        <f t="shared" si="30"/>
        <v>14609150801900</v>
      </c>
      <c r="B976" s="455">
        <f>VLOOKUP(LEFT($C$3:$C$2600,3),Table!$D$2:$E$88,2,FALSE)</f>
        <v>0</v>
      </c>
      <c r="C976" s="455" t="str">
        <f t="shared" si="31"/>
        <v>9150801900</v>
      </c>
      <c r="D976" s="455" t="e">
        <f>VLOOKUP(G976,Table!$G$3:$H$21,2,FALSE)</f>
        <v>#N/A</v>
      </c>
      <c r="E976" s="452" t="s">
        <v>902</v>
      </c>
      <c r="F976" s="452" t="s">
        <v>1384</v>
      </c>
      <c r="G976" s="452" t="s">
        <v>1006</v>
      </c>
      <c r="H976" s="452" t="s">
        <v>1007</v>
      </c>
      <c r="I976" s="453" t="s">
        <v>844</v>
      </c>
      <c r="J976" s="453">
        <v>343.5</v>
      </c>
      <c r="K976" s="461">
        <v>114.5</v>
      </c>
      <c r="L976" s="461">
        <v>114.5</v>
      </c>
      <c r="M976" s="461">
        <v>114.5</v>
      </c>
      <c r="N976" s="461">
        <v>0</v>
      </c>
      <c r="O976" s="461">
        <v>0</v>
      </c>
      <c r="P976" s="461">
        <v>0</v>
      </c>
      <c r="Q976" s="461">
        <v>0</v>
      </c>
      <c r="R976" s="461">
        <v>0</v>
      </c>
      <c r="S976" s="461">
        <v>0</v>
      </c>
      <c r="T976" s="461">
        <v>0</v>
      </c>
      <c r="U976" s="461">
        <v>0</v>
      </c>
      <c r="V976" s="461">
        <v>0</v>
      </c>
    </row>
    <row r="977" spans="1:22" s="455" customFormat="1" hidden="1">
      <c r="A977" s="455" t="str">
        <f t="shared" si="30"/>
        <v>14609151501100</v>
      </c>
      <c r="B977" s="455">
        <f>VLOOKUP(LEFT($C$3:$C$2600,3),Table!$D$2:$E$88,2,FALSE)</f>
        <v>0</v>
      </c>
      <c r="C977" s="455" t="str">
        <f t="shared" si="31"/>
        <v>9151501100</v>
      </c>
      <c r="D977" s="455" t="e">
        <f>VLOOKUP(G977,Table!$G$3:$H$21,2,FALSE)</f>
        <v>#N/A</v>
      </c>
      <c r="E977" s="452" t="s">
        <v>902</v>
      </c>
      <c r="F977" s="452" t="s">
        <v>1384</v>
      </c>
      <c r="G977" s="452" t="s">
        <v>1009</v>
      </c>
      <c r="H977" s="452" t="s">
        <v>1379</v>
      </c>
      <c r="I977" s="453" t="s">
        <v>844</v>
      </c>
      <c r="J977" s="453">
        <v>427.2</v>
      </c>
      <c r="K977" s="461">
        <v>178.8</v>
      </c>
      <c r="L977" s="461">
        <v>179.4</v>
      </c>
      <c r="M977" s="461">
        <v>222.6</v>
      </c>
      <c r="N977" s="461">
        <v>0</v>
      </c>
      <c r="O977" s="461">
        <v>0</v>
      </c>
      <c r="P977" s="461">
        <v>0</v>
      </c>
      <c r="Q977" s="461">
        <v>0</v>
      </c>
      <c r="R977" s="461">
        <v>0</v>
      </c>
      <c r="S977" s="461">
        <v>0</v>
      </c>
      <c r="T977" s="461">
        <v>0</v>
      </c>
      <c r="U977" s="461">
        <v>0</v>
      </c>
      <c r="V977" s="461">
        <v>0</v>
      </c>
    </row>
    <row r="978" spans="1:22" s="455" customFormat="1" hidden="1">
      <c r="A978" s="455" t="str">
        <f t="shared" si="30"/>
        <v>14609151501400</v>
      </c>
      <c r="B978" s="455">
        <f>VLOOKUP(LEFT($C$3:$C$2600,3),Table!$D$2:$E$88,2,FALSE)</f>
        <v>0</v>
      </c>
      <c r="C978" s="455" t="str">
        <f t="shared" si="31"/>
        <v>9151501400</v>
      </c>
      <c r="D978" s="455" t="e">
        <f>VLOOKUP(G978,Table!$G$3:$H$21,2,FALSE)</f>
        <v>#N/A</v>
      </c>
      <c r="E978" s="452" t="s">
        <v>902</v>
      </c>
      <c r="F978" s="452" t="s">
        <v>1384</v>
      </c>
      <c r="G978" s="452" t="s">
        <v>1011</v>
      </c>
      <c r="H978" s="452" t="s">
        <v>1012</v>
      </c>
      <c r="I978" s="453" t="s">
        <v>844</v>
      </c>
      <c r="J978" s="453">
        <v>243.3</v>
      </c>
      <c r="K978" s="461">
        <v>192.1</v>
      </c>
      <c r="L978" s="461">
        <v>35.700000000000003</v>
      </c>
      <c r="M978" s="461">
        <v>42.9</v>
      </c>
      <c r="N978" s="461">
        <v>0</v>
      </c>
      <c r="O978" s="461">
        <v>0</v>
      </c>
      <c r="P978" s="461">
        <v>0</v>
      </c>
      <c r="Q978" s="461">
        <v>0</v>
      </c>
      <c r="R978" s="461">
        <v>0</v>
      </c>
      <c r="S978" s="461">
        <v>0</v>
      </c>
      <c r="T978" s="461">
        <v>0</v>
      </c>
      <c r="U978" s="461">
        <v>0</v>
      </c>
      <c r="V978" s="461">
        <v>0</v>
      </c>
    </row>
    <row r="979" spans="1:22" s="455" customFormat="1" hidden="1">
      <c r="A979" s="455" t="str">
        <f t="shared" si="30"/>
        <v>14609151502000</v>
      </c>
      <c r="B979" s="455">
        <f>VLOOKUP(LEFT($C$3:$C$2600,3),Table!$D$2:$E$88,2,FALSE)</f>
        <v>0</v>
      </c>
      <c r="C979" s="455" t="str">
        <f t="shared" si="31"/>
        <v>9151502000</v>
      </c>
      <c r="D979" s="455" t="e">
        <f>VLOOKUP(G979,Table!$G$3:$H$21,2,FALSE)</f>
        <v>#N/A</v>
      </c>
      <c r="E979" s="452" t="s">
        <v>902</v>
      </c>
      <c r="F979" s="452" t="s">
        <v>1384</v>
      </c>
      <c r="G979" s="452" t="s">
        <v>1206</v>
      </c>
      <c r="H979" s="452" t="s">
        <v>1207</v>
      </c>
      <c r="I979" s="453" t="s">
        <v>844</v>
      </c>
      <c r="J979" s="453">
        <v>6382</v>
      </c>
      <c r="K979" s="461">
        <v>6382</v>
      </c>
      <c r="L979" s="461">
        <v>0</v>
      </c>
      <c r="M979" s="461">
        <v>6662</v>
      </c>
      <c r="N979" s="461">
        <v>0</v>
      </c>
      <c r="O979" s="461">
        <v>0</v>
      </c>
      <c r="P979" s="461">
        <v>0</v>
      </c>
      <c r="Q979" s="461">
        <v>0</v>
      </c>
      <c r="R979" s="461">
        <v>0</v>
      </c>
      <c r="S979" s="461">
        <v>0</v>
      </c>
      <c r="T979" s="461">
        <v>0</v>
      </c>
      <c r="U979" s="461">
        <v>0</v>
      </c>
      <c r="V979" s="461">
        <v>0</v>
      </c>
    </row>
    <row r="980" spans="1:22" s="455" customFormat="1" hidden="1">
      <c r="A980" s="455" t="str">
        <f t="shared" si="30"/>
        <v>14609151502200</v>
      </c>
      <c r="B980" s="455">
        <f>VLOOKUP(LEFT($C$3:$C$2600,3),Table!$D$2:$E$88,2,FALSE)</f>
        <v>0</v>
      </c>
      <c r="C980" s="455" t="str">
        <f t="shared" si="31"/>
        <v>9151502200</v>
      </c>
      <c r="D980" s="455" t="e">
        <f>VLOOKUP(G980,Table!$G$3:$H$21,2,FALSE)</f>
        <v>#N/A</v>
      </c>
      <c r="E980" s="452" t="s">
        <v>902</v>
      </c>
      <c r="F980" s="452" t="s">
        <v>1384</v>
      </c>
      <c r="G980" s="452" t="s">
        <v>1208</v>
      </c>
      <c r="H980" s="452" t="s">
        <v>1209</v>
      </c>
      <c r="I980" s="453" t="s">
        <v>844</v>
      </c>
      <c r="J980" s="453">
        <v>150.6</v>
      </c>
      <c r="K980" s="461">
        <v>150.6</v>
      </c>
      <c r="L980" s="461">
        <v>0</v>
      </c>
      <c r="M980" s="461">
        <v>0</v>
      </c>
      <c r="N980" s="461">
        <v>0</v>
      </c>
      <c r="O980" s="461">
        <v>0</v>
      </c>
      <c r="P980" s="461">
        <v>0</v>
      </c>
      <c r="Q980" s="461">
        <v>0</v>
      </c>
      <c r="R980" s="461">
        <v>0</v>
      </c>
      <c r="S980" s="461">
        <v>0</v>
      </c>
      <c r="T980" s="461">
        <v>0</v>
      </c>
      <c r="U980" s="461">
        <v>0</v>
      </c>
      <c r="V980" s="461">
        <v>0</v>
      </c>
    </row>
    <row r="981" spans="1:22" s="455" customFormat="1" hidden="1">
      <c r="A981" s="455" t="str">
        <f t="shared" si="30"/>
        <v>14609151601001</v>
      </c>
      <c r="B981" s="455">
        <f>VLOOKUP(LEFT($C$3:$C$2600,3),Table!$D$2:$E$88,2,FALSE)</f>
        <v>0</v>
      </c>
      <c r="C981" s="455" t="str">
        <f t="shared" si="31"/>
        <v>9151601001</v>
      </c>
      <c r="D981" s="455" t="e">
        <f>VLOOKUP(G981,Table!$G$3:$H$21,2,FALSE)</f>
        <v>#N/A</v>
      </c>
      <c r="E981" s="452" t="s">
        <v>902</v>
      </c>
      <c r="F981" s="452" t="s">
        <v>1384</v>
      </c>
      <c r="G981" s="452" t="s">
        <v>1015</v>
      </c>
      <c r="H981" s="452" t="s">
        <v>1016</v>
      </c>
      <c r="I981" s="453" t="s">
        <v>844</v>
      </c>
      <c r="J981" s="453">
        <v>404.1</v>
      </c>
      <c r="K981" s="461">
        <v>404.1</v>
      </c>
      <c r="L981" s="461">
        <v>0</v>
      </c>
      <c r="M981" s="461">
        <v>0</v>
      </c>
      <c r="N981" s="461">
        <v>0</v>
      </c>
      <c r="O981" s="461">
        <v>0</v>
      </c>
      <c r="P981" s="461">
        <v>0</v>
      </c>
      <c r="Q981" s="461">
        <v>0</v>
      </c>
      <c r="R981" s="461">
        <v>0</v>
      </c>
      <c r="S981" s="461">
        <v>0</v>
      </c>
      <c r="T981" s="461">
        <v>0</v>
      </c>
      <c r="U981" s="461">
        <v>0</v>
      </c>
      <c r="V981" s="461">
        <v>0</v>
      </c>
    </row>
    <row r="982" spans="1:22" s="455" customFormat="1" hidden="1">
      <c r="A982" s="455" t="str">
        <f t="shared" si="30"/>
        <v>14609151602001</v>
      </c>
      <c r="B982" s="455">
        <f>VLOOKUP(LEFT($C$3:$C$2600,3),Table!$D$2:$E$88,2,FALSE)</f>
        <v>0</v>
      </c>
      <c r="C982" s="455" t="str">
        <f t="shared" si="31"/>
        <v>9151602001</v>
      </c>
      <c r="D982" s="455" t="e">
        <f>VLOOKUP(G982,Table!$G$3:$H$21,2,FALSE)</f>
        <v>#N/A</v>
      </c>
      <c r="E982" s="452" t="s">
        <v>902</v>
      </c>
      <c r="F982" s="452" t="s">
        <v>1384</v>
      </c>
      <c r="G982" s="452" t="s">
        <v>2533</v>
      </c>
      <c r="H982" s="452" t="s">
        <v>2534</v>
      </c>
      <c r="I982" s="453" t="s">
        <v>844</v>
      </c>
      <c r="J982" s="453">
        <v>341.5</v>
      </c>
      <c r="K982" s="461">
        <v>341.5</v>
      </c>
      <c r="L982" s="461">
        <v>0</v>
      </c>
      <c r="M982" s="461">
        <v>0</v>
      </c>
      <c r="N982" s="461">
        <v>0</v>
      </c>
      <c r="O982" s="461">
        <v>0</v>
      </c>
      <c r="P982" s="461">
        <v>0</v>
      </c>
      <c r="Q982" s="461">
        <v>0</v>
      </c>
      <c r="R982" s="461">
        <v>0</v>
      </c>
      <c r="S982" s="461">
        <v>0</v>
      </c>
      <c r="T982" s="461">
        <v>0</v>
      </c>
      <c r="U982" s="461">
        <v>0</v>
      </c>
      <c r="V982" s="461">
        <v>0</v>
      </c>
    </row>
    <row r="983" spans="1:22" s="455" customFormat="1" hidden="1">
      <c r="A983" s="455" t="str">
        <f t="shared" si="30"/>
        <v>14609151602100</v>
      </c>
      <c r="B983" s="455">
        <f>VLOOKUP(LEFT($C$3:$C$2600,3),Table!$D$2:$E$88,2,FALSE)</f>
        <v>0</v>
      </c>
      <c r="C983" s="455" t="str">
        <f t="shared" si="31"/>
        <v>9151602100</v>
      </c>
      <c r="D983" s="455" t="e">
        <f>VLOOKUP(G983,Table!$G$3:$H$21,2,FALSE)</f>
        <v>#N/A</v>
      </c>
      <c r="E983" s="452" t="s">
        <v>902</v>
      </c>
      <c r="F983" s="452" t="s">
        <v>1384</v>
      </c>
      <c r="G983" s="452" t="s">
        <v>1210</v>
      </c>
      <c r="H983" s="452" t="s">
        <v>1211</v>
      </c>
      <c r="I983" s="453" t="s">
        <v>844</v>
      </c>
      <c r="J983" s="453">
        <v>2460.6</v>
      </c>
      <c r="K983" s="461">
        <v>2460.6</v>
      </c>
      <c r="L983" s="461">
        <v>0</v>
      </c>
      <c r="M983" s="461">
        <v>0</v>
      </c>
      <c r="N983" s="461">
        <v>0</v>
      </c>
      <c r="O983" s="461">
        <v>0</v>
      </c>
      <c r="P983" s="461">
        <v>0</v>
      </c>
      <c r="Q983" s="461">
        <v>0</v>
      </c>
      <c r="R983" s="461">
        <v>0</v>
      </c>
      <c r="S983" s="461">
        <v>0</v>
      </c>
      <c r="T983" s="461">
        <v>0</v>
      </c>
      <c r="U983" s="461">
        <v>0</v>
      </c>
      <c r="V983" s="461">
        <v>0</v>
      </c>
    </row>
    <row r="984" spans="1:22" s="455" customFormat="1" hidden="1">
      <c r="A984" s="455" t="str">
        <f t="shared" si="30"/>
        <v>14609151701010</v>
      </c>
      <c r="B984" s="455">
        <f>VLOOKUP(LEFT($C$3:$C$2600,3),Table!$D$2:$E$88,2,FALSE)</f>
        <v>0</v>
      </c>
      <c r="C984" s="455" t="str">
        <f t="shared" si="31"/>
        <v>9151701010</v>
      </c>
      <c r="D984" s="455" t="e">
        <f>VLOOKUP(G984,Table!$G$3:$H$21,2,FALSE)</f>
        <v>#N/A</v>
      </c>
      <c r="E984" s="452" t="s">
        <v>902</v>
      </c>
      <c r="F984" s="452" t="s">
        <v>1384</v>
      </c>
      <c r="G984" s="452" t="s">
        <v>1315</v>
      </c>
      <c r="H984" s="452" t="s">
        <v>1316</v>
      </c>
      <c r="I984" s="453" t="s">
        <v>844</v>
      </c>
      <c r="J984" s="453">
        <v>876.5</v>
      </c>
      <c r="K984" s="461">
        <v>126.5</v>
      </c>
      <c r="L984" s="461">
        <v>750</v>
      </c>
      <c r="M984" s="461">
        <v>0</v>
      </c>
      <c r="N984" s="461">
        <v>0</v>
      </c>
      <c r="O984" s="461">
        <v>0</v>
      </c>
      <c r="P984" s="461">
        <v>0</v>
      </c>
      <c r="Q984" s="461">
        <v>0</v>
      </c>
      <c r="R984" s="461">
        <v>0</v>
      </c>
      <c r="S984" s="461">
        <v>0</v>
      </c>
      <c r="T984" s="461">
        <v>0</v>
      </c>
      <c r="U984" s="461">
        <v>0</v>
      </c>
      <c r="V984" s="461">
        <v>0</v>
      </c>
    </row>
    <row r="985" spans="1:22" s="455" customFormat="1" hidden="1">
      <c r="A985" s="455" t="str">
        <f t="shared" si="30"/>
        <v>14609151701200</v>
      </c>
      <c r="B985" s="455">
        <f>VLOOKUP(LEFT($C$3:$C$2600,3),Table!$D$2:$E$88,2,FALSE)</f>
        <v>0</v>
      </c>
      <c r="C985" s="455" t="str">
        <f t="shared" si="31"/>
        <v>9151701200</v>
      </c>
      <c r="D985" s="455" t="e">
        <f>VLOOKUP(G985,Table!$G$3:$H$21,2,FALSE)</f>
        <v>#N/A</v>
      </c>
      <c r="E985" s="452" t="s">
        <v>902</v>
      </c>
      <c r="F985" s="452" t="s">
        <v>1384</v>
      </c>
      <c r="G985" s="452" t="s">
        <v>1385</v>
      </c>
      <c r="H985" s="452" t="s">
        <v>1386</v>
      </c>
      <c r="I985" s="453" t="s">
        <v>844</v>
      </c>
      <c r="J985" s="453">
        <v>302.45</v>
      </c>
      <c r="K985" s="461">
        <v>76.5</v>
      </c>
      <c r="L985" s="461">
        <v>75.05</v>
      </c>
      <c r="M985" s="461">
        <v>71.8</v>
      </c>
      <c r="N985" s="461">
        <v>0</v>
      </c>
      <c r="O985" s="461">
        <v>0</v>
      </c>
      <c r="P985" s="461">
        <v>0</v>
      </c>
      <c r="Q985" s="461">
        <v>0</v>
      </c>
      <c r="R985" s="461">
        <v>0</v>
      </c>
      <c r="S985" s="461">
        <v>0</v>
      </c>
      <c r="T985" s="461">
        <v>0</v>
      </c>
      <c r="U985" s="461">
        <v>0</v>
      </c>
      <c r="V985" s="461">
        <v>0</v>
      </c>
    </row>
    <row r="986" spans="1:22" s="455" customFormat="1" hidden="1">
      <c r="A986" s="455" t="str">
        <f t="shared" si="30"/>
        <v>14609151801100</v>
      </c>
      <c r="B986" s="455">
        <f>VLOOKUP(LEFT($C$3:$C$2600,3),Table!$D$2:$E$88,2,FALSE)</f>
        <v>0</v>
      </c>
      <c r="C986" s="455" t="str">
        <f t="shared" si="31"/>
        <v>9151801100</v>
      </c>
      <c r="D986" s="455" t="e">
        <f>VLOOKUP(G986,Table!$G$3:$H$21,2,FALSE)</f>
        <v>#N/A</v>
      </c>
      <c r="E986" s="452" t="s">
        <v>902</v>
      </c>
      <c r="F986" s="452" t="s">
        <v>1384</v>
      </c>
      <c r="G986" s="452" t="s">
        <v>1017</v>
      </c>
      <c r="H986" s="452" t="s">
        <v>1018</v>
      </c>
      <c r="I986" s="453" t="s">
        <v>844</v>
      </c>
      <c r="J986" s="453">
        <v>1227.9000000000001</v>
      </c>
      <c r="K986" s="461">
        <v>635.79999999999995</v>
      </c>
      <c r="L986" s="461">
        <v>190.25</v>
      </c>
      <c r="M986" s="461">
        <v>401.85</v>
      </c>
      <c r="N986" s="461">
        <v>0</v>
      </c>
      <c r="O986" s="461">
        <v>0</v>
      </c>
      <c r="P986" s="461">
        <v>0</v>
      </c>
      <c r="Q986" s="461">
        <v>0</v>
      </c>
      <c r="R986" s="461">
        <v>0</v>
      </c>
      <c r="S986" s="461">
        <v>0</v>
      </c>
      <c r="T986" s="461">
        <v>0</v>
      </c>
      <c r="U986" s="461">
        <v>0</v>
      </c>
      <c r="V986" s="461">
        <v>0</v>
      </c>
    </row>
    <row r="987" spans="1:22" s="455" customFormat="1" hidden="1">
      <c r="A987" s="455" t="str">
        <f t="shared" si="30"/>
        <v>14609151801200</v>
      </c>
      <c r="B987" s="455">
        <f>VLOOKUP(LEFT($C$3:$C$2600,3),Table!$D$2:$E$88,2,FALSE)</f>
        <v>0</v>
      </c>
      <c r="C987" s="455" t="str">
        <f t="shared" si="31"/>
        <v>9151801200</v>
      </c>
      <c r="D987" s="455" t="e">
        <f>VLOOKUP(G987,Table!$G$3:$H$21,2,FALSE)</f>
        <v>#N/A</v>
      </c>
      <c r="E987" s="452" t="s">
        <v>902</v>
      </c>
      <c r="F987" s="452" t="s">
        <v>1384</v>
      </c>
      <c r="G987" s="452" t="s">
        <v>1332</v>
      </c>
      <c r="H987" s="452" t="s">
        <v>1333</v>
      </c>
      <c r="I987" s="453" t="s">
        <v>844</v>
      </c>
      <c r="J987" s="453">
        <v>1080</v>
      </c>
      <c r="K987" s="461">
        <v>360</v>
      </c>
      <c r="L987" s="461">
        <v>360</v>
      </c>
      <c r="M987" s="461">
        <v>360</v>
      </c>
      <c r="N987" s="461">
        <v>0</v>
      </c>
      <c r="O987" s="461">
        <v>0</v>
      </c>
      <c r="P987" s="461">
        <v>0</v>
      </c>
      <c r="Q987" s="461">
        <v>0</v>
      </c>
      <c r="R987" s="461">
        <v>0</v>
      </c>
      <c r="S987" s="461">
        <v>0</v>
      </c>
      <c r="T987" s="461">
        <v>0</v>
      </c>
      <c r="U987" s="461">
        <v>0</v>
      </c>
      <c r="V987" s="461">
        <v>0</v>
      </c>
    </row>
    <row r="988" spans="1:22" s="455" customFormat="1" hidden="1">
      <c r="A988" s="455" t="str">
        <f t="shared" si="30"/>
        <v>14609151801300</v>
      </c>
      <c r="B988" s="455">
        <f>VLOOKUP(LEFT($C$3:$C$2600,3),Table!$D$2:$E$88,2,FALSE)</f>
        <v>0</v>
      </c>
      <c r="C988" s="455" t="str">
        <f t="shared" si="31"/>
        <v>9151801300</v>
      </c>
      <c r="D988" s="455" t="e">
        <f>VLOOKUP(G988,Table!$G$3:$H$21,2,FALSE)</f>
        <v>#N/A</v>
      </c>
      <c r="E988" s="452" t="s">
        <v>902</v>
      </c>
      <c r="F988" s="452" t="s">
        <v>1384</v>
      </c>
      <c r="G988" s="452" t="s">
        <v>1166</v>
      </c>
      <c r="H988" s="452" t="s">
        <v>1167</v>
      </c>
      <c r="I988" s="453" t="s">
        <v>844</v>
      </c>
      <c r="J988" s="453">
        <v>1314</v>
      </c>
      <c r="K988" s="461">
        <v>1314</v>
      </c>
      <c r="L988" s="461">
        <v>0</v>
      </c>
      <c r="M988" s="461">
        <v>0</v>
      </c>
      <c r="N988" s="461">
        <v>0</v>
      </c>
      <c r="O988" s="461">
        <v>0</v>
      </c>
      <c r="P988" s="461">
        <v>0</v>
      </c>
      <c r="Q988" s="461">
        <v>0</v>
      </c>
      <c r="R988" s="461">
        <v>0</v>
      </c>
      <c r="S988" s="461">
        <v>0</v>
      </c>
      <c r="T988" s="461">
        <v>0</v>
      </c>
      <c r="U988" s="461">
        <v>0</v>
      </c>
      <c r="V988" s="461">
        <v>0</v>
      </c>
    </row>
    <row r="989" spans="1:22" s="455" customFormat="1" hidden="1">
      <c r="A989" s="455" t="str">
        <f t="shared" si="30"/>
        <v>14609151801500</v>
      </c>
      <c r="B989" s="455">
        <f>VLOOKUP(LEFT($C$3:$C$2600,3),Table!$D$2:$E$88,2,FALSE)</f>
        <v>0</v>
      </c>
      <c r="C989" s="455" t="str">
        <f t="shared" si="31"/>
        <v>9151801500</v>
      </c>
      <c r="D989" s="455" t="e">
        <f>VLOOKUP(G989,Table!$G$3:$H$21,2,FALSE)</f>
        <v>#N/A</v>
      </c>
      <c r="E989" s="452" t="s">
        <v>902</v>
      </c>
      <c r="F989" s="452" t="s">
        <v>1384</v>
      </c>
      <c r="G989" s="452" t="s">
        <v>1168</v>
      </c>
      <c r="H989" s="452" t="s">
        <v>1169</v>
      </c>
      <c r="I989" s="453" t="s">
        <v>844</v>
      </c>
      <c r="J989" s="453">
        <v>219.35</v>
      </c>
      <c r="K989" s="461">
        <v>0</v>
      </c>
      <c r="L989" s="461">
        <v>0</v>
      </c>
      <c r="M989" s="461">
        <v>195.72</v>
      </c>
      <c r="N989" s="461">
        <v>0</v>
      </c>
      <c r="O989" s="461">
        <v>0</v>
      </c>
      <c r="P989" s="461">
        <v>0</v>
      </c>
      <c r="Q989" s="461">
        <v>0</v>
      </c>
      <c r="R989" s="461">
        <v>0</v>
      </c>
      <c r="S989" s="461">
        <v>0</v>
      </c>
      <c r="T989" s="461">
        <v>0</v>
      </c>
      <c r="U989" s="461">
        <v>0</v>
      </c>
      <c r="V989" s="461">
        <v>0</v>
      </c>
    </row>
    <row r="990" spans="1:22" s="455" customFormat="1" hidden="1">
      <c r="A990" s="455" t="str">
        <f t="shared" si="30"/>
        <v>14609151801800</v>
      </c>
      <c r="B990" s="455">
        <f>VLOOKUP(LEFT($C$3:$C$2600,3),Table!$D$2:$E$88,2,FALSE)</f>
        <v>0</v>
      </c>
      <c r="C990" s="455" t="str">
        <f t="shared" si="31"/>
        <v>9151801800</v>
      </c>
      <c r="D990" s="455" t="e">
        <f>VLOOKUP(G990,Table!$G$3:$H$21,2,FALSE)</f>
        <v>#N/A</v>
      </c>
      <c r="E990" s="452" t="s">
        <v>902</v>
      </c>
      <c r="F990" s="452" t="s">
        <v>1384</v>
      </c>
      <c r="G990" s="452" t="s">
        <v>1374</v>
      </c>
      <c r="H990" s="452" t="s">
        <v>1375</v>
      </c>
      <c r="I990" s="453" t="s">
        <v>844</v>
      </c>
      <c r="J990" s="453">
        <v>6900</v>
      </c>
      <c r="K990" s="461">
        <v>5200</v>
      </c>
      <c r="L990" s="461">
        <v>1700</v>
      </c>
      <c r="M990" s="461">
        <v>0</v>
      </c>
      <c r="N990" s="461">
        <v>0</v>
      </c>
      <c r="O990" s="461">
        <v>0</v>
      </c>
      <c r="P990" s="461">
        <v>0</v>
      </c>
      <c r="Q990" s="461">
        <v>0</v>
      </c>
      <c r="R990" s="461">
        <v>0</v>
      </c>
      <c r="S990" s="461">
        <v>0</v>
      </c>
      <c r="T990" s="461">
        <v>0</v>
      </c>
      <c r="U990" s="461">
        <v>0</v>
      </c>
      <c r="V990" s="461">
        <v>0</v>
      </c>
    </row>
    <row r="991" spans="1:22" s="455" customFormat="1" hidden="1">
      <c r="A991" s="455" t="str">
        <f t="shared" si="30"/>
        <v>14609152801000</v>
      </c>
      <c r="B991" s="455">
        <f>VLOOKUP(LEFT($C$3:$C$2600,3),Table!$D$2:$E$88,2,FALSE)</f>
        <v>0</v>
      </c>
      <c r="C991" s="455" t="str">
        <f t="shared" si="31"/>
        <v>9152801000</v>
      </c>
      <c r="D991" s="455" t="e">
        <f>VLOOKUP(G991,Table!$G$3:$H$21,2,FALSE)</f>
        <v>#N/A</v>
      </c>
      <c r="E991" s="452" t="s">
        <v>902</v>
      </c>
      <c r="F991" s="452" t="s">
        <v>1384</v>
      </c>
      <c r="G991" s="452" t="s">
        <v>1041</v>
      </c>
      <c r="H991" s="452" t="s">
        <v>1042</v>
      </c>
      <c r="I991" s="453" t="s">
        <v>844</v>
      </c>
      <c r="J991" s="453">
        <v>48</v>
      </c>
      <c r="K991" s="461">
        <v>48</v>
      </c>
      <c r="L991" s="461">
        <v>0</v>
      </c>
      <c r="M991" s="461">
        <v>0</v>
      </c>
      <c r="N991" s="461">
        <v>0</v>
      </c>
      <c r="O991" s="461">
        <v>0</v>
      </c>
      <c r="P991" s="461">
        <v>0</v>
      </c>
      <c r="Q991" s="461">
        <v>0</v>
      </c>
      <c r="R991" s="461">
        <v>0</v>
      </c>
      <c r="S991" s="461">
        <v>0</v>
      </c>
      <c r="T991" s="461">
        <v>0</v>
      </c>
      <c r="U991" s="461">
        <v>0</v>
      </c>
      <c r="V991" s="461">
        <v>0</v>
      </c>
    </row>
    <row r="992" spans="1:22" s="455" customFormat="1" hidden="1">
      <c r="A992" s="455" t="str">
        <f t="shared" si="30"/>
        <v>14609153401610</v>
      </c>
      <c r="B992" s="455">
        <f>VLOOKUP(LEFT($C$3:$C$2600,3),Table!$D$2:$E$88,2,FALSE)</f>
        <v>0</v>
      </c>
      <c r="C992" s="455" t="str">
        <f t="shared" si="31"/>
        <v>9153401610</v>
      </c>
      <c r="D992" s="455" t="e">
        <f>VLOOKUP(G992,Table!$G$3:$H$21,2,FALSE)</f>
        <v>#N/A</v>
      </c>
      <c r="E992" s="452" t="s">
        <v>902</v>
      </c>
      <c r="F992" s="452" t="s">
        <v>1384</v>
      </c>
      <c r="G992" s="452" t="s">
        <v>1389</v>
      </c>
      <c r="H992" s="452" t="s">
        <v>1390</v>
      </c>
      <c r="I992" s="453" t="s">
        <v>844</v>
      </c>
      <c r="J992" s="453">
        <v>258.35000000000002</v>
      </c>
      <c r="K992" s="461">
        <v>258.35000000000002</v>
      </c>
      <c r="L992" s="461">
        <v>0</v>
      </c>
      <c r="M992" s="461">
        <v>0</v>
      </c>
      <c r="N992" s="461">
        <v>0</v>
      </c>
      <c r="O992" s="461">
        <v>0</v>
      </c>
      <c r="P992" s="461">
        <v>0</v>
      </c>
      <c r="Q992" s="461">
        <v>0</v>
      </c>
      <c r="R992" s="461">
        <v>0</v>
      </c>
      <c r="S992" s="461">
        <v>0</v>
      </c>
      <c r="T992" s="461">
        <v>0</v>
      </c>
      <c r="U992" s="461">
        <v>0</v>
      </c>
      <c r="V992" s="461">
        <v>0</v>
      </c>
    </row>
    <row r="993" spans="1:22" s="455" customFormat="1" hidden="1">
      <c r="A993" s="455" t="str">
        <f t="shared" si="30"/>
        <v>15109150900000</v>
      </c>
      <c r="B993" s="455">
        <f>VLOOKUP(LEFT($C$3:$C$2600,3),Table!$D$2:$E$88,2,FALSE)</f>
        <v>0</v>
      </c>
      <c r="C993" s="455" t="str">
        <f t="shared" si="31"/>
        <v>9150900000</v>
      </c>
      <c r="D993" s="455" t="e">
        <f>VLOOKUP(G993,Table!$G$3:$H$21,2,FALSE)</f>
        <v>#N/A</v>
      </c>
      <c r="E993" s="452" t="s">
        <v>902</v>
      </c>
      <c r="F993" s="452" t="s">
        <v>1391</v>
      </c>
      <c r="G993" s="452" t="s">
        <v>1008</v>
      </c>
      <c r="H993" s="452" t="s">
        <v>966</v>
      </c>
      <c r="I993" s="453" t="s">
        <v>844</v>
      </c>
      <c r="J993" s="453">
        <v>18978.75</v>
      </c>
      <c r="K993" s="461">
        <v>6357.5</v>
      </c>
      <c r="L993" s="461">
        <v>6301.25</v>
      </c>
      <c r="M993" s="461">
        <v>6320</v>
      </c>
      <c r="N993" s="461">
        <v>0</v>
      </c>
      <c r="O993" s="461">
        <v>0</v>
      </c>
      <c r="P993" s="461">
        <v>0</v>
      </c>
      <c r="Q993" s="461">
        <v>0</v>
      </c>
      <c r="R993" s="461">
        <v>0</v>
      </c>
      <c r="S993" s="461">
        <v>0</v>
      </c>
      <c r="T993" s="461">
        <v>0</v>
      </c>
      <c r="U993" s="461">
        <v>0</v>
      </c>
      <c r="V993" s="461">
        <v>0</v>
      </c>
    </row>
    <row r="994" spans="1:22" s="455" customFormat="1" hidden="1">
      <c r="A994" s="455" t="str">
        <f t="shared" si="30"/>
        <v>15109151001000</v>
      </c>
      <c r="B994" s="455">
        <f>VLOOKUP(LEFT($C$3:$C$2600,3),Table!$D$2:$E$88,2,FALSE)</f>
        <v>0</v>
      </c>
      <c r="C994" s="455" t="str">
        <f t="shared" si="31"/>
        <v>9151001000</v>
      </c>
      <c r="D994" s="455" t="e">
        <f>VLOOKUP(G994,Table!$G$3:$H$21,2,FALSE)</f>
        <v>#N/A</v>
      </c>
      <c r="E994" s="452" t="s">
        <v>902</v>
      </c>
      <c r="F994" s="452" t="s">
        <v>1391</v>
      </c>
      <c r="G994" s="452" t="s">
        <v>1129</v>
      </c>
      <c r="H994" s="452" t="s">
        <v>994</v>
      </c>
      <c r="I994" s="453" t="s">
        <v>844</v>
      </c>
      <c r="J994" s="453">
        <v>27072</v>
      </c>
      <c r="K994" s="461">
        <v>9024</v>
      </c>
      <c r="L994" s="461">
        <v>9024</v>
      </c>
      <c r="M994" s="461">
        <v>9024</v>
      </c>
      <c r="N994" s="461">
        <v>0</v>
      </c>
      <c r="O994" s="461">
        <v>0</v>
      </c>
      <c r="P994" s="461">
        <v>0</v>
      </c>
      <c r="Q994" s="461">
        <v>0</v>
      </c>
      <c r="R994" s="461">
        <v>0</v>
      </c>
      <c r="S994" s="461">
        <v>0</v>
      </c>
      <c r="T994" s="461">
        <v>0</v>
      </c>
      <c r="U994" s="461">
        <v>0</v>
      </c>
      <c r="V994" s="461">
        <v>0</v>
      </c>
    </row>
    <row r="995" spans="1:22" s="455" customFormat="1" hidden="1">
      <c r="A995" s="455" t="str">
        <f t="shared" si="30"/>
        <v>15109151001100</v>
      </c>
      <c r="B995" s="455">
        <f>VLOOKUP(LEFT($C$3:$C$2600,3),Table!$D$2:$E$88,2,FALSE)</f>
        <v>0</v>
      </c>
      <c r="C995" s="455" t="str">
        <f t="shared" si="31"/>
        <v>9151001100</v>
      </c>
      <c r="D995" s="455" t="e">
        <f>VLOOKUP(G995,Table!$G$3:$H$21,2,FALSE)</f>
        <v>#N/A</v>
      </c>
      <c r="E995" s="452" t="s">
        <v>902</v>
      </c>
      <c r="F995" s="452" t="s">
        <v>1391</v>
      </c>
      <c r="G995" s="452" t="s">
        <v>1130</v>
      </c>
      <c r="H995" s="452" t="s">
        <v>1131</v>
      </c>
      <c r="I995" s="453" t="s">
        <v>844</v>
      </c>
      <c r="J995" s="453">
        <v>12897.72</v>
      </c>
      <c r="K995" s="461">
        <v>3926.04</v>
      </c>
      <c r="L995" s="461">
        <v>4674.4799999999996</v>
      </c>
      <c r="M995" s="461">
        <v>5093.7299999999996</v>
      </c>
      <c r="N995" s="461">
        <v>0</v>
      </c>
      <c r="O995" s="461">
        <v>0</v>
      </c>
      <c r="P995" s="461">
        <v>0</v>
      </c>
      <c r="Q995" s="461">
        <v>0</v>
      </c>
      <c r="R995" s="461">
        <v>0</v>
      </c>
      <c r="S995" s="461">
        <v>0</v>
      </c>
      <c r="T995" s="461">
        <v>0</v>
      </c>
      <c r="U995" s="461">
        <v>0</v>
      </c>
      <c r="V995" s="461">
        <v>0</v>
      </c>
    </row>
    <row r="996" spans="1:22" s="455" customFormat="1" hidden="1">
      <c r="A996" s="455" t="str">
        <f t="shared" si="30"/>
        <v>15109151001400</v>
      </c>
      <c r="B996" s="455">
        <f>VLOOKUP(LEFT($C$3:$C$2600,3),Table!$D$2:$E$88,2,FALSE)</f>
        <v>0</v>
      </c>
      <c r="C996" s="455" t="str">
        <f t="shared" si="31"/>
        <v>9151001400</v>
      </c>
      <c r="D996" s="455" t="e">
        <f>VLOOKUP(G996,Table!$G$3:$H$21,2,FALSE)</f>
        <v>#N/A</v>
      </c>
      <c r="E996" s="452" t="s">
        <v>902</v>
      </c>
      <c r="F996" s="452" t="s">
        <v>1391</v>
      </c>
      <c r="G996" s="452" t="s">
        <v>1133</v>
      </c>
      <c r="H996" s="452" t="s">
        <v>998</v>
      </c>
      <c r="I996" s="453" t="s">
        <v>844</v>
      </c>
      <c r="J996" s="453">
        <v>3330</v>
      </c>
      <c r="K996" s="461">
        <v>1109</v>
      </c>
      <c r="L996" s="461">
        <v>1109</v>
      </c>
      <c r="M996" s="461">
        <v>1112</v>
      </c>
      <c r="N996" s="461">
        <v>0</v>
      </c>
      <c r="O996" s="461">
        <v>0</v>
      </c>
      <c r="P996" s="461">
        <v>0</v>
      </c>
      <c r="Q996" s="461">
        <v>0</v>
      </c>
      <c r="R996" s="461">
        <v>0</v>
      </c>
      <c r="S996" s="461">
        <v>0</v>
      </c>
      <c r="T996" s="461">
        <v>0</v>
      </c>
      <c r="U996" s="461">
        <v>0</v>
      </c>
      <c r="V996" s="461">
        <v>0</v>
      </c>
    </row>
    <row r="997" spans="1:22" s="455" customFormat="1" hidden="1">
      <c r="A997" s="455" t="str">
        <f t="shared" si="30"/>
        <v>15109151001410</v>
      </c>
      <c r="B997" s="455">
        <f>VLOOKUP(LEFT($C$3:$C$2600,3),Table!$D$2:$E$88,2,FALSE)</f>
        <v>0</v>
      </c>
      <c r="C997" s="455" t="str">
        <f t="shared" si="31"/>
        <v>9151001410</v>
      </c>
      <c r="D997" s="455" t="e">
        <f>VLOOKUP(G997,Table!$G$3:$H$21,2,FALSE)</f>
        <v>#N/A</v>
      </c>
      <c r="E997" s="452" t="s">
        <v>902</v>
      </c>
      <c r="F997" s="452" t="s">
        <v>1391</v>
      </c>
      <c r="G997" s="452" t="s">
        <v>1134</v>
      </c>
      <c r="H997" s="452" t="s">
        <v>1078</v>
      </c>
      <c r="I997" s="453" t="s">
        <v>844</v>
      </c>
      <c r="J997" s="453">
        <v>90</v>
      </c>
      <c r="K997" s="461">
        <v>30</v>
      </c>
      <c r="L997" s="461">
        <v>30</v>
      </c>
      <c r="M997" s="461">
        <v>30</v>
      </c>
      <c r="N997" s="461">
        <v>0</v>
      </c>
      <c r="O997" s="461">
        <v>0</v>
      </c>
      <c r="P997" s="461">
        <v>0</v>
      </c>
      <c r="Q997" s="461">
        <v>0</v>
      </c>
      <c r="R997" s="461">
        <v>0</v>
      </c>
      <c r="S997" s="461">
        <v>0</v>
      </c>
      <c r="T997" s="461">
        <v>0</v>
      </c>
      <c r="U997" s="461">
        <v>0</v>
      </c>
      <c r="V997" s="461">
        <v>0</v>
      </c>
    </row>
    <row r="998" spans="1:22" s="455" customFormat="1" hidden="1">
      <c r="A998" s="455" t="str">
        <f t="shared" si="30"/>
        <v>15109151001500</v>
      </c>
      <c r="B998" s="455">
        <f>VLOOKUP(LEFT($C$3:$C$2600,3),Table!$D$2:$E$88,2,FALSE)</f>
        <v>0</v>
      </c>
      <c r="C998" s="455" t="str">
        <f t="shared" si="31"/>
        <v>9151001500</v>
      </c>
      <c r="D998" s="455" t="e">
        <f>VLOOKUP(G998,Table!$G$3:$H$21,2,FALSE)</f>
        <v>#N/A</v>
      </c>
      <c r="E998" s="452" t="s">
        <v>902</v>
      </c>
      <c r="F998" s="452" t="s">
        <v>1391</v>
      </c>
      <c r="G998" s="452" t="s">
        <v>1135</v>
      </c>
      <c r="H998" s="452" t="s">
        <v>1136</v>
      </c>
      <c r="I998" s="453" t="s">
        <v>844</v>
      </c>
      <c r="J998" s="453">
        <v>592.79999999999995</v>
      </c>
      <c r="K998" s="461">
        <v>195.8</v>
      </c>
      <c r="L998" s="461">
        <v>206.4</v>
      </c>
      <c r="M998" s="461">
        <v>190.6</v>
      </c>
      <c r="N998" s="461">
        <v>0</v>
      </c>
      <c r="O998" s="461">
        <v>0</v>
      </c>
      <c r="P998" s="461">
        <v>0</v>
      </c>
      <c r="Q998" s="461">
        <v>0</v>
      </c>
      <c r="R998" s="461">
        <v>0</v>
      </c>
      <c r="S998" s="461">
        <v>0</v>
      </c>
      <c r="T998" s="461">
        <v>0</v>
      </c>
      <c r="U998" s="461">
        <v>0</v>
      </c>
      <c r="V998" s="461">
        <v>0</v>
      </c>
    </row>
    <row r="999" spans="1:22" s="455" customFormat="1" hidden="1">
      <c r="A999" s="455" t="str">
        <f t="shared" si="30"/>
        <v>15109151001600</v>
      </c>
      <c r="B999" s="455">
        <f>VLOOKUP(LEFT($C$3:$C$2600,3),Table!$D$2:$E$88,2,FALSE)</f>
        <v>0</v>
      </c>
      <c r="C999" s="455" t="str">
        <f t="shared" si="31"/>
        <v>9151001600</v>
      </c>
      <c r="D999" s="455" t="e">
        <f>VLOOKUP(G999,Table!$G$3:$H$21,2,FALSE)</f>
        <v>#N/A</v>
      </c>
      <c r="E999" s="452" t="s">
        <v>902</v>
      </c>
      <c r="F999" s="452" t="s">
        <v>1391</v>
      </c>
      <c r="G999" s="452" t="s">
        <v>1137</v>
      </c>
      <c r="H999" s="452" t="s">
        <v>1002</v>
      </c>
      <c r="I999" s="453" t="s">
        <v>844</v>
      </c>
      <c r="J999" s="453">
        <v>6176.79</v>
      </c>
      <c r="K999" s="461">
        <v>2058.9299999999998</v>
      </c>
      <c r="L999" s="461">
        <v>2058.9299999999998</v>
      </c>
      <c r="M999" s="461">
        <v>2058.9299999999998</v>
      </c>
      <c r="N999" s="461">
        <v>0</v>
      </c>
      <c r="O999" s="461">
        <v>0</v>
      </c>
      <c r="P999" s="461">
        <v>0</v>
      </c>
      <c r="Q999" s="461">
        <v>0</v>
      </c>
      <c r="R999" s="461">
        <v>0</v>
      </c>
      <c r="S999" s="461">
        <v>0</v>
      </c>
      <c r="T999" s="461">
        <v>0</v>
      </c>
      <c r="U999" s="461">
        <v>0</v>
      </c>
      <c r="V999" s="461">
        <v>0</v>
      </c>
    </row>
    <row r="1000" spans="1:22" s="455" customFormat="1" hidden="1">
      <c r="A1000" s="455" t="str">
        <f t="shared" si="30"/>
        <v>15109151001700</v>
      </c>
      <c r="B1000" s="455">
        <f>VLOOKUP(LEFT($C$3:$C$2600,3),Table!$D$2:$E$88,2,FALSE)</f>
        <v>0</v>
      </c>
      <c r="C1000" s="455" t="str">
        <f t="shared" si="31"/>
        <v>9151001700</v>
      </c>
      <c r="D1000" s="455" t="e">
        <f>VLOOKUP(G1000,Table!$G$3:$H$21,2,FALSE)</f>
        <v>#N/A</v>
      </c>
      <c r="E1000" s="452" t="s">
        <v>902</v>
      </c>
      <c r="F1000" s="452" t="s">
        <v>1391</v>
      </c>
      <c r="G1000" s="452" t="s">
        <v>1138</v>
      </c>
      <c r="H1000" s="452" t="s">
        <v>1313</v>
      </c>
      <c r="I1000" s="453" t="s">
        <v>844</v>
      </c>
      <c r="J1000" s="453">
        <v>-8482.7999999999993</v>
      </c>
      <c r="K1000" s="461">
        <v>-383.46</v>
      </c>
      <c r="L1000" s="461">
        <v>162.30000000000001</v>
      </c>
      <c r="M1000" s="461">
        <v>24.94</v>
      </c>
      <c r="N1000" s="461">
        <v>0</v>
      </c>
      <c r="O1000" s="461">
        <v>0</v>
      </c>
      <c r="P1000" s="461">
        <v>0</v>
      </c>
      <c r="Q1000" s="461">
        <v>0</v>
      </c>
      <c r="R1000" s="461">
        <v>0</v>
      </c>
      <c r="S1000" s="461">
        <v>0</v>
      </c>
      <c r="T1000" s="461">
        <v>0</v>
      </c>
      <c r="U1000" s="461">
        <v>0</v>
      </c>
      <c r="V1000" s="461">
        <v>0</v>
      </c>
    </row>
    <row r="1001" spans="1:22" s="455" customFormat="1" hidden="1">
      <c r="A1001" s="455" t="str">
        <f t="shared" si="30"/>
        <v>15109151001800</v>
      </c>
      <c r="B1001" s="455">
        <f>VLOOKUP(LEFT($C$3:$C$2600,3),Table!$D$2:$E$88,2,FALSE)</f>
        <v>0</v>
      </c>
      <c r="C1001" s="455" t="str">
        <f t="shared" si="31"/>
        <v>9151001800</v>
      </c>
      <c r="D1001" s="455" t="e">
        <f>VLOOKUP(G1001,Table!$G$3:$H$21,2,FALSE)</f>
        <v>#N/A</v>
      </c>
      <c r="E1001" s="452" t="s">
        <v>902</v>
      </c>
      <c r="F1001" s="452" t="s">
        <v>1391</v>
      </c>
      <c r="G1001" s="452" t="s">
        <v>1139</v>
      </c>
      <c r="H1001" s="452" t="s">
        <v>1005</v>
      </c>
      <c r="I1001" s="453" t="s">
        <v>844</v>
      </c>
      <c r="J1001" s="453">
        <v>4538.3</v>
      </c>
      <c r="K1001" s="461">
        <v>1474</v>
      </c>
      <c r="L1001" s="461">
        <v>1485</v>
      </c>
      <c r="M1001" s="461">
        <v>1579.3</v>
      </c>
      <c r="N1001" s="461">
        <v>0</v>
      </c>
      <c r="O1001" s="461">
        <v>0</v>
      </c>
      <c r="P1001" s="461">
        <v>0</v>
      </c>
      <c r="Q1001" s="461">
        <v>0</v>
      </c>
      <c r="R1001" s="461">
        <v>0</v>
      </c>
      <c r="S1001" s="461">
        <v>0</v>
      </c>
      <c r="T1001" s="461">
        <v>0</v>
      </c>
      <c r="U1001" s="461">
        <v>0</v>
      </c>
      <c r="V1001" s="461">
        <v>0</v>
      </c>
    </row>
    <row r="1002" spans="1:22" s="455" customFormat="1" hidden="1">
      <c r="A1002" s="455" t="str">
        <f t="shared" si="30"/>
        <v>15109151001900</v>
      </c>
      <c r="B1002" s="455">
        <f>VLOOKUP(LEFT($C$3:$C$2600,3),Table!$D$2:$E$88,2,FALSE)</f>
        <v>0</v>
      </c>
      <c r="C1002" s="455" t="str">
        <f t="shared" si="31"/>
        <v>9151001900</v>
      </c>
      <c r="D1002" s="455" t="e">
        <f>VLOOKUP(G1002,Table!$G$3:$H$21,2,FALSE)</f>
        <v>#N/A</v>
      </c>
      <c r="E1002" s="452" t="s">
        <v>902</v>
      </c>
      <c r="F1002" s="452" t="s">
        <v>1391</v>
      </c>
      <c r="G1002" s="452" t="s">
        <v>1140</v>
      </c>
      <c r="H1002" s="452" t="s">
        <v>1007</v>
      </c>
      <c r="I1002" s="453" t="s">
        <v>844</v>
      </c>
      <c r="J1002" s="453">
        <v>283.08</v>
      </c>
      <c r="K1002" s="461">
        <v>94.36</v>
      </c>
      <c r="L1002" s="461">
        <v>94.36</v>
      </c>
      <c r="M1002" s="461">
        <v>94.36</v>
      </c>
      <c r="N1002" s="461">
        <v>0</v>
      </c>
      <c r="O1002" s="461">
        <v>0</v>
      </c>
      <c r="P1002" s="461">
        <v>0</v>
      </c>
      <c r="Q1002" s="461">
        <v>0</v>
      </c>
      <c r="R1002" s="461">
        <v>0</v>
      </c>
      <c r="S1002" s="461">
        <v>0</v>
      </c>
      <c r="T1002" s="461">
        <v>0</v>
      </c>
      <c r="U1002" s="461">
        <v>0</v>
      </c>
      <c r="V1002" s="461">
        <v>0</v>
      </c>
    </row>
    <row r="1003" spans="1:22" s="455" customFormat="1" hidden="1">
      <c r="A1003" s="455" t="str">
        <f t="shared" si="30"/>
        <v>15109151101000</v>
      </c>
      <c r="B1003" s="455">
        <f>VLOOKUP(LEFT($C$3:$C$2600,3),Table!$D$2:$E$88,2,FALSE)</f>
        <v>0</v>
      </c>
      <c r="C1003" s="455" t="str">
        <f t="shared" si="31"/>
        <v>9151101000</v>
      </c>
      <c r="D1003" s="455" t="e">
        <f>VLOOKUP(G1003,Table!$G$3:$H$21,2,FALSE)</f>
        <v>#N/A</v>
      </c>
      <c r="E1003" s="452" t="s">
        <v>902</v>
      </c>
      <c r="F1003" s="452" t="s">
        <v>1391</v>
      </c>
      <c r="G1003" s="452" t="s">
        <v>1141</v>
      </c>
      <c r="H1003" s="452" t="s">
        <v>1068</v>
      </c>
      <c r="I1003" s="453" t="s">
        <v>844</v>
      </c>
      <c r="J1003" s="453">
        <v>5076.6499999999996</v>
      </c>
      <c r="K1003" s="461">
        <v>1774.67</v>
      </c>
      <c r="L1003" s="461">
        <v>1788.05</v>
      </c>
      <c r="M1003" s="461">
        <v>1790.13</v>
      </c>
      <c r="N1003" s="461">
        <v>0</v>
      </c>
      <c r="O1003" s="461">
        <v>0</v>
      </c>
      <c r="P1003" s="461">
        <v>0</v>
      </c>
      <c r="Q1003" s="461">
        <v>0</v>
      </c>
      <c r="R1003" s="461">
        <v>0</v>
      </c>
      <c r="S1003" s="461">
        <v>0</v>
      </c>
      <c r="T1003" s="461">
        <v>0</v>
      </c>
      <c r="U1003" s="461">
        <v>0</v>
      </c>
      <c r="V1003" s="461">
        <v>0</v>
      </c>
    </row>
    <row r="1004" spans="1:22" s="455" customFormat="1" hidden="1">
      <c r="A1004" s="455" t="str">
        <f t="shared" si="30"/>
        <v>15109151101400</v>
      </c>
      <c r="B1004" s="455">
        <f>VLOOKUP(LEFT($C$3:$C$2600,3),Table!$D$2:$E$88,2,FALSE)</f>
        <v>0</v>
      </c>
      <c r="C1004" s="455" t="str">
        <f t="shared" si="31"/>
        <v>9151101400</v>
      </c>
      <c r="D1004" s="455" t="e">
        <f>VLOOKUP(G1004,Table!$G$3:$H$21,2,FALSE)</f>
        <v>#N/A</v>
      </c>
      <c r="E1004" s="452" t="s">
        <v>902</v>
      </c>
      <c r="F1004" s="452" t="s">
        <v>1391</v>
      </c>
      <c r="G1004" s="452" t="s">
        <v>1145</v>
      </c>
      <c r="H1004" s="452" t="s">
        <v>1076</v>
      </c>
      <c r="I1004" s="453" t="s">
        <v>844</v>
      </c>
      <c r="J1004" s="453">
        <v>815</v>
      </c>
      <c r="K1004" s="461">
        <v>267</v>
      </c>
      <c r="L1004" s="461">
        <v>269</v>
      </c>
      <c r="M1004" s="461">
        <v>279</v>
      </c>
      <c r="N1004" s="461">
        <v>0</v>
      </c>
      <c r="O1004" s="461">
        <v>0</v>
      </c>
      <c r="P1004" s="461">
        <v>0</v>
      </c>
      <c r="Q1004" s="461">
        <v>0</v>
      </c>
      <c r="R1004" s="461">
        <v>0</v>
      </c>
      <c r="S1004" s="461">
        <v>0</v>
      </c>
      <c r="T1004" s="461">
        <v>0</v>
      </c>
      <c r="U1004" s="461">
        <v>0</v>
      </c>
      <c r="V1004" s="461">
        <v>0</v>
      </c>
    </row>
    <row r="1005" spans="1:22" s="455" customFormat="1" hidden="1">
      <c r="A1005" s="455" t="str">
        <f t="shared" si="30"/>
        <v>15109151101410</v>
      </c>
      <c r="B1005" s="455">
        <f>VLOOKUP(LEFT($C$3:$C$2600,3),Table!$D$2:$E$88,2,FALSE)</f>
        <v>0</v>
      </c>
      <c r="C1005" s="455" t="str">
        <f t="shared" si="31"/>
        <v>9151101410</v>
      </c>
      <c r="D1005" s="455" t="e">
        <f>VLOOKUP(G1005,Table!$G$3:$H$21,2,FALSE)</f>
        <v>#N/A</v>
      </c>
      <c r="E1005" s="452" t="s">
        <v>902</v>
      </c>
      <c r="F1005" s="452" t="s">
        <v>1391</v>
      </c>
      <c r="G1005" s="452" t="s">
        <v>1146</v>
      </c>
      <c r="H1005" s="452" t="s">
        <v>1078</v>
      </c>
      <c r="I1005" s="453" t="s">
        <v>844</v>
      </c>
      <c r="J1005" s="453">
        <v>45</v>
      </c>
      <c r="K1005" s="461">
        <v>15</v>
      </c>
      <c r="L1005" s="461">
        <v>15</v>
      </c>
      <c r="M1005" s="461">
        <v>15</v>
      </c>
      <c r="N1005" s="461">
        <v>0</v>
      </c>
      <c r="O1005" s="461">
        <v>0</v>
      </c>
      <c r="P1005" s="461">
        <v>0</v>
      </c>
      <c r="Q1005" s="461">
        <v>0</v>
      </c>
      <c r="R1005" s="461">
        <v>0</v>
      </c>
      <c r="S1005" s="461">
        <v>0</v>
      </c>
      <c r="T1005" s="461">
        <v>0</v>
      </c>
      <c r="U1005" s="461">
        <v>0</v>
      </c>
      <c r="V1005" s="461">
        <v>0</v>
      </c>
    </row>
    <row r="1006" spans="1:22" s="455" customFormat="1" hidden="1">
      <c r="A1006" s="455" t="str">
        <f t="shared" si="30"/>
        <v>15109151101500</v>
      </c>
      <c r="B1006" s="455">
        <f>VLOOKUP(LEFT($C$3:$C$2600,3),Table!$D$2:$E$88,2,FALSE)</f>
        <v>0</v>
      </c>
      <c r="C1006" s="455" t="str">
        <f t="shared" si="31"/>
        <v>9151101500</v>
      </c>
      <c r="D1006" s="455" t="e">
        <f>VLOOKUP(G1006,Table!$G$3:$H$21,2,FALSE)</f>
        <v>#N/A</v>
      </c>
      <c r="E1006" s="452" t="s">
        <v>902</v>
      </c>
      <c r="F1006" s="452" t="s">
        <v>1391</v>
      </c>
      <c r="G1006" s="452" t="s">
        <v>1147</v>
      </c>
      <c r="H1006" s="452" t="s">
        <v>1080</v>
      </c>
      <c r="I1006" s="453" t="s">
        <v>844</v>
      </c>
      <c r="J1006" s="453">
        <v>93.65</v>
      </c>
      <c r="K1006" s="461">
        <v>30.65</v>
      </c>
      <c r="L1006" s="461">
        <v>30.65</v>
      </c>
      <c r="M1006" s="461">
        <v>32.35</v>
      </c>
      <c r="N1006" s="461">
        <v>0</v>
      </c>
      <c r="O1006" s="461">
        <v>0</v>
      </c>
      <c r="P1006" s="461">
        <v>0</v>
      </c>
      <c r="Q1006" s="461">
        <v>0</v>
      </c>
      <c r="R1006" s="461">
        <v>0</v>
      </c>
      <c r="S1006" s="461">
        <v>0</v>
      </c>
      <c r="T1006" s="461">
        <v>0</v>
      </c>
      <c r="U1006" s="461">
        <v>0</v>
      </c>
      <c r="V1006" s="461">
        <v>0</v>
      </c>
    </row>
    <row r="1007" spans="1:22" s="455" customFormat="1" hidden="1">
      <c r="A1007" s="455" t="str">
        <f t="shared" si="30"/>
        <v>15109151101600</v>
      </c>
      <c r="B1007" s="455">
        <f>VLOOKUP(LEFT($C$3:$C$2600,3),Table!$D$2:$E$88,2,FALSE)</f>
        <v>0</v>
      </c>
      <c r="C1007" s="455" t="str">
        <f t="shared" si="31"/>
        <v>9151101600</v>
      </c>
      <c r="D1007" s="455" t="e">
        <f>VLOOKUP(G1007,Table!$G$3:$H$21,2,FALSE)</f>
        <v>#N/A</v>
      </c>
      <c r="E1007" s="452" t="s">
        <v>902</v>
      </c>
      <c r="F1007" s="452" t="s">
        <v>1391</v>
      </c>
      <c r="G1007" s="452" t="s">
        <v>1148</v>
      </c>
      <c r="H1007" s="452" t="s">
        <v>1082</v>
      </c>
      <c r="I1007" s="453" t="s">
        <v>844</v>
      </c>
      <c r="J1007" s="453">
        <v>1228.8599999999999</v>
      </c>
      <c r="K1007" s="461">
        <v>409.62</v>
      </c>
      <c r="L1007" s="461">
        <v>409.62</v>
      </c>
      <c r="M1007" s="461">
        <v>409.62</v>
      </c>
      <c r="N1007" s="461">
        <v>0</v>
      </c>
      <c r="O1007" s="461">
        <v>0</v>
      </c>
      <c r="P1007" s="461">
        <v>0</v>
      </c>
      <c r="Q1007" s="461">
        <v>0</v>
      </c>
      <c r="R1007" s="461">
        <v>0</v>
      </c>
      <c r="S1007" s="461">
        <v>0</v>
      </c>
      <c r="T1007" s="461">
        <v>0</v>
      </c>
      <c r="U1007" s="461">
        <v>0</v>
      </c>
      <c r="V1007" s="461">
        <v>0</v>
      </c>
    </row>
    <row r="1008" spans="1:22" s="455" customFormat="1" hidden="1">
      <c r="A1008" s="455" t="str">
        <f t="shared" si="30"/>
        <v>15109151101700</v>
      </c>
      <c r="B1008" s="455">
        <f>VLOOKUP(LEFT($C$3:$C$2600,3),Table!$D$2:$E$88,2,FALSE)</f>
        <v>0</v>
      </c>
      <c r="C1008" s="455" t="str">
        <f t="shared" si="31"/>
        <v>9151101700</v>
      </c>
      <c r="D1008" s="455" t="e">
        <f>VLOOKUP(G1008,Table!$G$3:$H$21,2,FALSE)</f>
        <v>#N/A</v>
      </c>
      <c r="E1008" s="452" t="s">
        <v>902</v>
      </c>
      <c r="F1008" s="452" t="s">
        <v>1391</v>
      </c>
      <c r="G1008" s="452" t="s">
        <v>1149</v>
      </c>
      <c r="H1008" s="452" t="s">
        <v>1084</v>
      </c>
      <c r="I1008" s="453" t="s">
        <v>844</v>
      </c>
      <c r="J1008" s="453">
        <v>-1946.73</v>
      </c>
      <c r="K1008" s="461">
        <v>81.05</v>
      </c>
      <c r="L1008" s="461">
        <v>37.53</v>
      </c>
      <c r="M1008" s="461">
        <v>-37.53</v>
      </c>
      <c r="N1008" s="461">
        <v>0</v>
      </c>
      <c r="O1008" s="461">
        <v>0</v>
      </c>
      <c r="P1008" s="461">
        <v>0</v>
      </c>
      <c r="Q1008" s="461">
        <v>0</v>
      </c>
      <c r="R1008" s="461">
        <v>0</v>
      </c>
      <c r="S1008" s="461">
        <v>0</v>
      </c>
      <c r="T1008" s="461">
        <v>0</v>
      </c>
      <c r="U1008" s="461">
        <v>0</v>
      </c>
      <c r="V1008" s="461">
        <v>0</v>
      </c>
    </row>
    <row r="1009" spans="1:22" s="455" customFormat="1" hidden="1">
      <c r="A1009" s="455" t="str">
        <f t="shared" si="30"/>
        <v>15109151101800</v>
      </c>
      <c r="B1009" s="455">
        <f>VLOOKUP(LEFT($C$3:$C$2600,3),Table!$D$2:$E$88,2,FALSE)</f>
        <v>0</v>
      </c>
      <c r="C1009" s="455" t="str">
        <f t="shared" si="31"/>
        <v>9151101800</v>
      </c>
      <c r="D1009" s="455" t="e">
        <f>VLOOKUP(G1009,Table!$G$3:$H$21,2,FALSE)</f>
        <v>#N/A</v>
      </c>
      <c r="E1009" s="452" t="s">
        <v>902</v>
      </c>
      <c r="F1009" s="452" t="s">
        <v>1391</v>
      </c>
      <c r="G1009" s="452" t="s">
        <v>1150</v>
      </c>
      <c r="H1009" s="452" t="s">
        <v>1086</v>
      </c>
      <c r="I1009" s="453" t="s">
        <v>844</v>
      </c>
      <c r="J1009" s="453">
        <v>204</v>
      </c>
      <c r="K1009" s="461">
        <v>75</v>
      </c>
      <c r="L1009" s="461">
        <v>63</v>
      </c>
      <c r="M1009" s="461">
        <v>66</v>
      </c>
      <c r="N1009" s="461">
        <v>0</v>
      </c>
      <c r="O1009" s="461">
        <v>0</v>
      </c>
      <c r="P1009" s="461">
        <v>0</v>
      </c>
      <c r="Q1009" s="461">
        <v>0</v>
      </c>
      <c r="R1009" s="461">
        <v>0</v>
      </c>
      <c r="S1009" s="461">
        <v>0</v>
      </c>
      <c r="T1009" s="461">
        <v>0</v>
      </c>
      <c r="U1009" s="461">
        <v>0</v>
      </c>
      <c r="V1009" s="461">
        <v>0</v>
      </c>
    </row>
    <row r="1010" spans="1:22" s="455" customFormat="1" hidden="1">
      <c r="A1010" s="455" t="str">
        <f t="shared" si="30"/>
        <v>15109151101900</v>
      </c>
      <c r="B1010" s="455">
        <f>VLOOKUP(LEFT($C$3:$C$2600,3),Table!$D$2:$E$88,2,FALSE)</f>
        <v>0</v>
      </c>
      <c r="C1010" s="455" t="str">
        <f t="shared" si="31"/>
        <v>9151101900</v>
      </c>
      <c r="D1010" s="455" t="e">
        <f>VLOOKUP(G1010,Table!$G$3:$H$21,2,FALSE)</f>
        <v>#N/A</v>
      </c>
      <c r="E1010" s="452" t="s">
        <v>902</v>
      </c>
      <c r="F1010" s="452" t="s">
        <v>1391</v>
      </c>
      <c r="G1010" s="452" t="s">
        <v>1151</v>
      </c>
      <c r="H1010" s="452" t="s">
        <v>1088</v>
      </c>
      <c r="I1010" s="453" t="s">
        <v>844</v>
      </c>
      <c r="J1010" s="453">
        <v>54.21</v>
      </c>
      <c r="K1010" s="461">
        <v>17.739999999999998</v>
      </c>
      <c r="L1010" s="461">
        <v>17.88</v>
      </c>
      <c r="M1010" s="461">
        <v>18.59</v>
      </c>
      <c r="N1010" s="461">
        <v>0</v>
      </c>
      <c r="O1010" s="461">
        <v>0</v>
      </c>
      <c r="P1010" s="461">
        <v>0</v>
      </c>
      <c r="Q1010" s="461">
        <v>0</v>
      </c>
      <c r="R1010" s="461">
        <v>0</v>
      </c>
      <c r="S1010" s="461">
        <v>0</v>
      </c>
      <c r="T1010" s="461">
        <v>0</v>
      </c>
      <c r="U1010" s="461">
        <v>0</v>
      </c>
      <c r="V1010" s="461">
        <v>0</v>
      </c>
    </row>
    <row r="1011" spans="1:22" s="455" customFormat="1" hidden="1">
      <c r="A1011" s="455" t="str">
        <f t="shared" si="30"/>
        <v>15109151301500</v>
      </c>
      <c r="B1011" s="455">
        <f>VLOOKUP(LEFT($C$3:$C$2600,3),Table!$D$2:$E$88,2,FALSE)</f>
        <v>0</v>
      </c>
      <c r="C1011" s="455" t="str">
        <f t="shared" si="31"/>
        <v>9151301500</v>
      </c>
      <c r="D1011" s="455" t="e">
        <f>VLOOKUP(G1011,Table!$G$3:$H$21,2,FALSE)</f>
        <v>#N/A</v>
      </c>
      <c r="E1011" s="452" t="s">
        <v>902</v>
      </c>
      <c r="F1011" s="452" t="s">
        <v>1391</v>
      </c>
      <c r="G1011" s="452" t="s">
        <v>1152</v>
      </c>
      <c r="H1011" s="452" t="s">
        <v>1153</v>
      </c>
      <c r="I1011" s="453" t="s">
        <v>844</v>
      </c>
      <c r="J1011" s="453">
        <v>135</v>
      </c>
      <c r="K1011" s="461">
        <v>135</v>
      </c>
      <c r="L1011" s="461">
        <v>0</v>
      </c>
      <c r="M1011" s="461">
        <v>0</v>
      </c>
      <c r="N1011" s="461">
        <v>0</v>
      </c>
      <c r="O1011" s="461">
        <v>0</v>
      </c>
      <c r="P1011" s="461">
        <v>0</v>
      </c>
      <c r="Q1011" s="461">
        <v>0</v>
      </c>
      <c r="R1011" s="461">
        <v>0</v>
      </c>
      <c r="S1011" s="461">
        <v>0</v>
      </c>
      <c r="T1011" s="461">
        <v>0</v>
      </c>
      <c r="U1011" s="461">
        <v>0</v>
      </c>
      <c r="V1011" s="461">
        <v>0</v>
      </c>
    </row>
    <row r="1012" spans="1:22" s="455" customFormat="1" hidden="1">
      <c r="A1012" s="455" t="str">
        <f t="shared" si="30"/>
        <v>15109151301600</v>
      </c>
      <c r="B1012" s="455">
        <f>VLOOKUP(LEFT($C$3:$C$2600,3),Table!$D$2:$E$88,2,FALSE)</f>
        <v>0</v>
      </c>
      <c r="C1012" s="455" t="str">
        <f t="shared" si="31"/>
        <v>9151301600</v>
      </c>
      <c r="D1012" s="455" t="e">
        <f>VLOOKUP(G1012,Table!$G$3:$H$21,2,FALSE)</f>
        <v>#N/A</v>
      </c>
      <c r="E1012" s="452" t="s">
        <v>902</v>
      </c>
      <c r="F1012" s="452" t="s">
        <v>1391</v>
      </c>
      <c r="G1012" s="452" t="s">
        <v>1392</v>
      </c>
      <c r="H1012" s="452" t="s">
        <v>1393</v>
      </c>
      <c r="I1012" s="453" t="s">
        <v>844</v>
      </c>
      <c r="J1012" s="453">
        <v>2454.5</v>
      </c>
      <c r="K1012" s="461">
        <v>495</v>
      </c>
      <c r="L1012" s="461">
        <v>1389.5</v>
      </c>
      <c r="M1012" s="461">
        <v>858</v>
      </c>
      <c r="N1012" s="461">
        <v>0</v>
      </c>
      <c r="O1012" s="461">
        <v>0</v>
      </c>
      <c r="P1012" s="461">
        <v>0</v>
      </c>
      <c r="Q1012" s="461">
        <v>0</v>
      </c>
      <c r="R1012" s="461">
        <v>0</v>
      </c>
      <c r="S1012" s="461">
        <v>0</v>
      </c>
      <c r="T1012" s="461">
        <v>0</v>
      </c>
      <c r="U1012" s="461">
        <v>0</v>
      </c>
      <c r="V1012" s="461">
        <v>0</v>
      </c>
    </row>
    <row r="1013" spans="1:22" s="455" customFormat="1" hidden="1">
      <c r="A1013" s="455" t="str">
        <f t="shared" si="30"/>
        <v>15109151301900</v>
      </c>
      <c r="B1013" s="455">
        <f>VLOOKUP(LEFT($C$3:$C$2600,3),Table!$D$2:$E$88,2,FALSE)</f>
        <v>0</v>
      </c>
      <c r="C1013" s="455" t="str">
        <f t="shared" si="31"/>
        <v>9151301900</v>
      </c>
      <c r="D1013" s="455" t="e">
        <f>VLOOKUP(G1013,Table!$G$3:$H$21,2,FALSE)</f>
        <v>#N/A</v>
      </c>
      <c r="E1013" s="452" t="s">
        <v>902</v>
      </c>
      <c r="F1013" s="452" t="s">
        <v>1391</v>
      </c>
      <c r="G1013" s="452" t="s">
        <v>1394</v>
      </c>
      <c r="H1013" s="452" t="s">
        <v>1395</v>
      </c>
      <c r="I1013" s="453" t="s">
        <v>844</v>
      </c>
      <c r="J1013" s="453">
        <v>103.6</v>
      </c>
      <c r="K1013" s="461">
        <v>0</v>
      </c>
      <c r="L1013" s="461">
        <v>0</v>
      </c>
      <c r="M1013" s="461">
        <v>103.6</v>
      </c>
      <c r="N1013" s="461">
        <v>0</v>
      </c>
      <c r="O1013" s="461">
        <v>0</v>
      </c>
      <c r="P1013" s="461">
        <v>0</v>
      </c>
      <c r="Q1013" s="461">
        <v>0</v>
      </c>
      <c r="R1013" s="461">
        <v>0</v>
      </c>
      <c r="S1013" s="461">
        <v>0</v>
      </c>
      <c r="T1013" s="461">
        <v>0</v>
      </c>
      <c r="U1013" s="461">
        <v>0</v>
      </c>
      <c r="V1013" s="461">
        <v>0</v>
      </c>
    </row>
    <row r="1014" spans="1:22" s="455" customFormat="1" hidden="1">
      <c r="A1014" s="455" t="str">
        <f t="shared" si="30"/>
        <v>15109151302500</v>
      </c>
      <c r="B1014" s="455">
        <f>VLOOKUP(LEFT($C$3:$C$2600,3),Table!$D$2:$E$88,2,FALSE)</f>
        <v>0</v>
      </c>
      <c r="C1014" s="455" t="str">
        <f t="shared" si="31"/>
        <v>9151302500</v>
      </c>
      <c r="D1014" s="455" t="e">
        <f>VLOOKUP(G1014,Table!$G$3:$H$21,2,FALSE)</f>
        <v>#N/A</v>
      </c>
      <c r="E1014" s="452" t="s">
        <v>902</v>
      </c>
      <c r="F1014" s="452" t="s">
        <v>1391</v>
      </c>
      <c r="G1014" s="452" t="s">
        <v>1154</v>
      </c>
      <c r="H1014" s="452" t="s">
        <v>1155</v>
      </c>
      <c r="I1014" s="453" t="s">
        <v>844</v>
      </c>
      <c r="J1014" s="453">
        <v>6832.18</v>
      </c>
      <c r="K1014" s="461">
        <v>695.6</v>
      </c>
      <c r="L1014" s="461">
        <v>1690.53</v>
      </c>
      <c r="M1014" s="461">
        <v>4446.05</v>
      </c>
      <c r="N1014" s="461">
        <v>0</v>
      </c>
      <c r="O1014" s="461">
        <v>0</v>
      </c>
      <c r="P1014" s="461">
        <v>0</v>
      </c>
      <c r="Q1014" s="461">
        <v>0</v>
      </c>
      <c r="R1014" s="461">
        <v>0</v>
      </c>
      <c r="S1014" s="461">
        <v>0</v>
      </c>
      <c r="T1014" s="461">
        <v>0</v>
      </c>
      <c r="U1014" s="461">
        <v>0</v>
      </c>
      <c r="V1014" s="461">
        <v>0</v>
      </c>
    </row>
    <row r="1015" spans="1:22" s="455" customFormat="1" hidden="1">
      <c r="A1015" s="455" t="str">
        <f t="shared" si="30"/>
        <v>15109151501319</v>
      </c>
      <c r="B1015" s="455">
        <f>VLOOKUP(LEFT($C$3:$C$2600,3),Table!$D$2:$E$88,2,FALSE)</f>
        <v>0</v>
      </c>
      <c r="C1015" s="455" t="str">
        <f t="shared" si="31"/>
        <v>9151501319</v>
      </c>
      <c r="D1015" s="455" t="e">
        <f>VLOOKUP(G1015,Table!$G$3:$H$21,2,FALSE)</f>
        <v>#N/A</v>
      </c>
      <c r="E1015" s="452" t="s">
        <v>902</v>
      </c>
      <c r="F1015" s="452" t="s">
        <v>1391</v>
      </c>
      <c r="G1015" s="452" t="s">
        <v>1396</v>
      </c>
      <c r="H1015" s="452" t="s">
        <v>1397</v>
      </c>
      <c r="I1015" s="453" t="s">
        <v>844</v>
      </c>
      <c r="J1015" s="453">
        <v>917.76</v>
      </c>
      <c r="K1015" s="461">
        <v>0</v>
      </c>
      <c r="L1015" s="461">
        <v>591.65</v>
      </c>
      <c r="M1015" s="461">
        <v>326.11</v>
      </c>
      <c r="N1015" s="461">
        <v>0</v>
      </c>
      <c r="O1015" s="461">
        <v>0</v>
      </c>
      <c r="P1015" s="461">
        <v>0</v>
      </c>
      <c r="Q1015" s="461">
        <v>0</v>
      </c>
      <c r="R1015" s="461">
        <v>0</v>
      </c>
      <c r="S1015" s="461">
        <v>0</v>
      </c>
      <c r="T1015" s="461">
        <v>0</v>
      </c>
      <c r="U1015" s="461">
        <v>0</v>
      </c>
      <c r="V1015" s="461">
        <v>0</v>
      </c>
    </row>
    <row r="1016" spans="1:22" s="455" customFormat="1" hidden="1">
      <c r="A1016" s="455" t="str">
        <f t="shared" si="30"/>
        <v>15109151501320</v>
      </c>
      <c r="B1016" s="455">
        <f>VLOOKUP(LEFT($C$3:$C$2600,3),Table!$D$2:$E$88,2,FALSE)</f>
        <v>0</v>
      </c>
      <c r="C1016" s="455" t="str">
        <f t="shared" si="31"/>
        <v>9151501320</v>
      </c>
      <c r="D1016" s="455" t="e">
        <f>VLOOKUP(G1016,Table!$G$3:$H$21,2,FALSE)</f>
        <v>#N/A</v>
      </c>
      <c r="E1016" s="452" t="s">
        <v>902</v>
      </c>
      <c r="F1016" s="452" t="s">
        <v>1391</v>
      </c>
      <c r="G1016" s="452" t="s">
        <v>1398</v>
      </c>
      <c r="H1016" s="452" t="s">
        <v>1399</v>
      </c>
      <c r="I1016" s="453" t="s">
        <v>844</v>
      </c>
      <c r="J1016" s="453">
        <v>1323.31</v>
      </c>
      <c r="K1016" s="461">
        <v>621.38</v>
      </c>
      <c r="L1016" s="461">
        <v>0</v>
      </c>
      <c r="M1016" s="461">
        <v>701.93</v>
      </c>
      <c r="N1016" s="461">
        <v>0</v>
      </c>
      <c r="O1016" s="461">
        <v>0</v>
      </c>
      <c r="P1016" s="461">
        <v>0</v>
      </c>
      <c r="Q1016" s="461">
        <v>0</v>
      </c>
      <c r="R1016" s="461">
        <v>0</v>
      </c>
      <c r="S1016" s="461">
        <v>0</v>
      </c>
      <c r="T1016" s="461">
        <v>0</v>
      </c>
      <c r="U1016" s="461">
        <v>0</v>
      </c>
      <c r="V1016" s="461">
        <v>0</v>
      </c>
    </row>
    <row r="1017" spans="1:22" s="455" customFormat="1" hidden="1">
      <c r="A1017" s="455" t="str">
        <f t="shared" si="30"/>
        <v>15109151501323</v>
      </c>
      <c r="B1017" s="455">
        <f>VLOOKUP(LEFT($C$3:$C$2600,3),Table!$D$2:$E$88,2,FALSE)</f>
        <v>0</v>
      </c>
      <c r="C1017" s="455" t="str">
        <f t="shared" si="31"/>
        <v>9151501323</v>
      </c>
      <c r="D1017" s="455" t="e">
        <f>VLOOKUP(G1017,Table!$G$3:$H$21,2,FALSE)</f>
        <v>#N/A</v>
      </c>
      <c r="E1017" s="452" t="s">
        <v>902</v>
      </c>
      <c r="F1017" s="452" t="s">
        <v>1391</v>
      </c>
      <c r="G1017" s="452" t="s">
        <v>1400</v>
      </c>
      <c r="H1017" s="452" t="s">
        <v>1401</v>
      </c>
      <c r="I1017" s="453" t="s">
        <v>844</v>
      </c>
      <c r="J1017" s="453">
        <v>1460.82</v>
      </c>
      <c r="K1017" s="461">
        <v>518.75</v>
      </c>
      <c r="L1017" s="461">
        <v>324.45999999999998</v>
      </c>
      <c r="M1017" s="461">
        <v>617.61</v>
      </c>
      <c r="N1017" s="461">
        <v>0</v>
      </c>
      <c r="O1017" s="461">
        <v>0</v>
      </c>
      <c r="P1017" s="461">
        <v>0</v>
      </c>
      <c r="Q1017" s="461">
        <v>0</v>
      </c>
      <c r="R1017" s="461">
        <v>0</v>
      </c>
      <c r="S1017" s="461">
        <v>0</v>
      </c>
      <c r="T1017" s="461">
        <v>0</v>
      </c>
      <c r="U1017" s="461">
        <v>0</v>
      </c>
      <c r="V1017" s="461">
        <v>0</v>
      </c>
    </row>
    <row r="1018" spans="1:22" s="455" customFormat="1" hidden="1">
      <c r="A1018" s="455" t="str">
        <f t="shared" si="30"/>
        <v>15109151501324</v>
      </c>
      <c r="B1018" s="455">
        <f>VLOOKUP(LEFT($C$3:$C$2600,3),Table!$D$2:$E$88,2,FALSE)</f>
        <v>0</v>
      </c>
      <c r="C1018" s="455" t="str">
        <f t="shared" si="31"/>
        <v>9151501324</v>
      </c>
      <c r="D1018" s="455" t="e">
        <f>VLOOKUP(G1018,Table!$G$3:$H$21,2,FALSE)</f>
        <v>#N/A</v>
      </c>
      <c r="E1018" s="452" t="s">
        <v>902</v>
      </c>
      <c r="F1018" s="452" t="s">
        <v>1391</v>
      </c>
      <c r="G1018" s="452" t="s">
        <v>2551</v>
      </c>
      <c r="H1018" s="452" t="s">
        <v>2552</v>
      </c>
      <c r="I1018" s="453" t="s">
        <v>844</v>
      </c>
      <c r="J1018" s="453">
        <v>505.34</v>
      </c>
      <c r="K1018" s="461">
        <v>240.84</v>
      </c>
      <c r="L1018" s="461">
        <v>0</v>
      </c>
      <c r="M1018" s="461">
        <v>264.5</v>
      </c>
      <c r="N1018" s="461">
        <v>0</v>
      </c>
      <c r="O1018" s="461">
        <v>0</v>
      </c>
      <c r="P1018" s="461">
        <v>0</v>
      </c>
      <c r="Q1018" s="461">
        <v>0</v>
      </c>
      <c r="R1018" s="461">
        <v>0</v>
      </c>
      <c r="S1018" s="461">
        <v>0</v>
      </c>
      <c r="T1018" s="461">
        <v>0</v>
      </c>
      <c r="U1018" s="461">
        <v>0</v>
      </c>
      <c r="V1018" s="461">
        <v>0</v>
      </c>
    </row>
    <row r="1019" spans="1:22" s="455" customFormat="1" hidden="1">
      <c r="A1019" s="455" t="str">
        <f t="shared" si="30"/>
        <v>15109151501334</v>
      </c>
      <c r="B1019" s="455">
        <f>VLOOKUP(LEFT($C$3:$C$2600,3),Table!$D$2:$E$88,2,FALSE)</f>
        <v>0</v>
      </c>
      <c r="C1019" s="455" t="str">
        <f t="shared" si="31"/>
        <v>9151501334</v>
      </c>
      <c r="D1019" s="455" t="e">
        <f>VLOOKUP(G1019,Table!$G$3:$H$21,2,FALSE)</f>
        <v>#N/A</v>
      </c>
      <c r="E1019" s="452" t="s">
        <v>902</v>
      </c>
      <c r="F1019" s="452" t="s">
        <v>1391</v>
      </c>
      <c r="G1019" s="452" t="s">
        <v>1403</v>
      </c>
      <c r="H1019" s="452" t="s">
        <v>1404</v>
      </c>
      <c r="I1019" s="453" t="s">
        <v>844</v>
      </c>
      <c r="J1019" s="453">
        <v>2092.79</v>
      </c>
      <c r="K1019" s="461">
        <v>693.72</v>
      </c>
      <c r="L1019" s="461">
        <v>708.16</v>
      </c>
      <c r="M1019" s="461">
        <v>690.91</v>
      </c>
      <c r="N1019" s="461">
        <v>0</v>
      </c>
      <c r="O1019" s="461">
        <v>0</v>
      </c>
      <c r="P1019" s="461">
        <v>0</v>
      </c>
      <c r="Q1019" s="461">
        <v>0</v>
      </c>
      <c r="R1019" s="461">
        <v>0</v>
      </c>
      <c r="S1019" s="461">
        <v>0</v>
      </c>
      <c r="T1019" s="461">
        <v>0</v>
      </c>
      <c r="U1019" s="461">
        <v>0</v>
      </c>
      <c r="V1019" s="461">
        <v>0</v>
      </c>
    </row>
    <row r="1020" spans="1:22" s="455" customFormat="1" hidden="1">
      <c r="A1020" s="455" t="str">
        <f t="shared" si="30"/>
        <v>15109151501400</v>
      </c>
      <c r="B1020" s="455">
        <f>VLOOKUP(LEFT($C$3:$C$2600,3),Table!$D$2:$E$88,2,FALSE)</f>
        <v>0</v>
      </c>
      <c r="C1020" s="455" t="str">
        <f t="shared" si="31"/>
        <v>9151501400</v>
      </c>
      <c r="D1020" s="455" t="e">
        <f>VLOOKUP(G1020,Table!$G$3:$H$21,2,FALSE)</f>
        <v>#N/A</v>
      </c>
      <c r="E1020" s="452" t="s">
        <v>902</v>
      </c>
      <c r="F1020" s="452" t="s">
        <v>1391</v>
      </c>
      <c r="G1020" s="452" t="s">
        <v>1011</v>
      </c>
      <c r="H1020" s="452" t="s">
        <v>1012</v>
      </c>
      <c r="I1020" s="453" t="s">
        <v>844</v>
      </c>
      <c r="J1020" s="453">
        <v>1040.25</v>
      </c>
      <c r="K1020" s="461">
        <v>386.95</v>
      </c>
      <c r="L1020" s="461">
        <v>0</v>
      </c>
      <c r="M1020" s="461">
        <v>653.29999999999995</v>
      </c>
      <c r="N1020" s="461">
        <v>0</v>
      </c>
      <c r="O1020" s="461">
        <v>0</v>
      </c>
      <c r="P1020" s="461">
        <v>0</v>
      </c>
      <c r="Q1020" s="461">
        <v>0</v>
      </c>
      <c r="R1020" s="461">
        <v>0</v>
      </c>
      <c r="S1020" s="461">
        <v>0</v>
      </c>
      <c r="T1020" s="461">
        <v>0</v>
      </c>
      <c r="U1020" s="461">
        <v>0</v>
      </c>
      <c r="V1020" s="461">
        <v>0</v>
      </c>
    </row>
    <row r="1021" spans="1:22" s="455" customFormat="1" hidden="1">
      <c r="A1021" s="455" t="str">
        <f t="shared" si="30"/>
        <v>15109151601001</v>
      </c>
      <c r="B1021" s="455">
        <f>VLOOKUP(LEFT($C$3:$C$2600,3),Table!$D$2:$E$88,2,FALSE)</f>
        <v>0</v>
      </c>
      <c r="C1021" s="455" t="str">
        <f t="shared" si="31"/>
        <v>9151601001</v>
      </c>
      <c r="D1021" s="455" t="e">
        <f>VLOOKUP(G1021,Table!$G$3:$H$21,2,FALSE)</f>
        <v>#N/A</v>
      </c>
      <c r="E1021" s="452" t="s">
        <v>902</v>
      </c>
      <c r="F1021" s="452" t="s">
        <v>1391</v>
      </c>
      <c r="G1021" s="452" t="s">
        <v>1015</v>
      </c>
      <c r="H1021" s="452" t="s">
        <v>1016</v>
      </c>
      <c r="I1021" s="453" t="s">
        <v>844</v>
      </c>
      <c r="J1021" s="453">
        <v>17</v>
      </c>
      <c r="K1021" s="461">
        <v>0</v>
      </c>
      <c r="L1021" s="461">
        <v>17</v>
      </c>
      <c r="M1021" s="461">
        <v>0</v>
      </c>
      <c r="N1021" s="461">
        <v>0</v>
      </c>
      <c r="O1021" s="461">
        <v>0</v>
      </c>
      <c r="P1021" s="461">
        <v>0</v>
      </c>
      <c r="Q1021" s="461">
        <v>0</v>
      </c>
      <c r="R1021" s="461">
        <v>0</v>
      </c>
      <c r="S1021" s="461">
        <v>0</v>
      </c>
      <c r="T1021" s="461">
        <v>0</v>
      </c>
      <c r="U1021" s="461">
        <v>0</v>
      </c>
      <c r="V1021" s="461">
        <v>0</v>
      </c>
    </row>
    <row r="1022" spans="1:22" s="455" customFormat="1" hidden="1">
      <c r="A1022" s="455" t="str">
        <f t="shared" si="30"/>
        <v>15109151701000</v>
      </c>
      <c r="B1022" s="455">
        <f>VLOOKUP(LEFT($C$3:$C$2600,3),Table!$D$2:$E$88,2,FALSE)</f>
        <v>0</v>
      </c>
      <c r="C1022" s="455" t="str">
        <f t="shared" si="31"/>
        <v>9151701000</v>
      </c>
      <c r="D1022" s="455" t="e">
        <f>VLOOKUP(G1022,Table!$G$3:$H$21,2,FALSE)</f>
        <v>#N/A</v>
      </c>
      <c r="E1022" s="452" t="s">
        <v>902</v>
      </c>
      <c r="F1022" s="452" t="s">
        <v>1391</v>
      </c>
      <c r="G1022" s="452" t="s">
        <v>1330</v>
      </c>
      <c r="H1022" s="452" t="s">
        <v>1331</v>
      </c>
      <c r="I1022" s="453" t="s">
        <v>844</v>
      </c>
      <c r="J1022" s="453">
        <v>16080.82</v>
      </c>
      <c r="K1022" s="461">
        <v>5525.62</v>
      </c>
      <c r="L1022" s="461">
        <v>2853.5</v>
      </c>
      <c r="M1022" s="461">
        <v>4828.8999999999996</v>
      </c>
      <c r="N1022" s="461">
        <v>0</v>
      </c>
      <c r="O1022" s="461">
        <v>0</v>
      </c>
      <c r="P1022" s="461">
        <v>0</v>
      </c>
      <c r="Q1022" s="461">
        <v>0</v>
      </c>
      <c r="R1022" s="461">
        <v>0</v>
      </c>
      <c r="S1022" s="461">
        <v>0</v>
      </c>
      <c r="T1022" s="461">
        <v>0</v>
      </c>
      <c r="U1022" s="461">
        <v>0</v>
      </c>
      <c r="V1022" s="461">
        <v>0</v>
      </c>
    </row>
    <row r="1023" spans="1:22" s="455" customFormat="1" hidden="1">
      <c r="A1023" s="455" t="str">
        <f t="shared" si="30"/>
        <v>15109151701010</v>
      </c>
      <c r="B1023" s="455">
        <f>VLOOKUP(LEFT($C$3:$C$2600,3),Table!$D$2:$E$88,2,FALSE)</f>
        <v>0</v>
      </c>
      <c r="C1023" s="455" t="str">
        <f t="shared" si="31"/>
        <v>9151701010</v>
      </c>
      <c r="D1023" s="455" t="e">
        <f>VLOOKUP(G1023,Table!$G$3:$H$21,2,FALSE)</f>
        <v>#N/A</v>
      </c>
      <c r="E1023" s="452" t="s">
        <v>902</v>
      </c>
      <c r="F1023" s="452" t="s">
        <v>1391</v>
      </c>
      <c r="G1023" s="452" t="s">
        <v>1315</v>
      </c>
      <c r="H1023" s="452" t="s">
        <v>1316</v>
      </c>
      <c r="I1023" s="453" t="s">
        <v>844</v>
      </c>
      <c r="J1023" s="453">
        <v>4280.51</v>
      </c>
      <c r="K1023" s="461">
        <v>-16.04</v>
      </c>
      <c r="L1023" s="461">
        <v>222.12</v>
      </c>
      <c r="M1023" s="461">
        <v>4074.43</v>
      </c>
      <c r="N1023" s="461">
        <v>0</v>
      </c>
      <c r="O1023" s="461">
        <v>0</v>
      </c>
      <c r="P1023" s="461">
        <v>0</v>
      </c>
      <c r="Q1023" s="461">
        <v>0</v>
      </c>
      <c r="R1023" s="461">
        <v>0</v>
      </c>
      <c r="S1023" s="461">
        <v>0</v>
      </c>
      <c r="T1023" s="461">
        <v>0</v>
      </c>
      <c r="U1023" s="461">
        <v>0</v>
      </c>
      <c r="V1023" s="461">
        <v>0</v>
      </c>
    </row>
    <row r="1024" spans="1:22" s="455" customFormat="1" hidden="1">
      <c r="A1024" s="455" t="str">
        <f t="shared" si="30"/>
        <v>15109151701200</v>
      </c>
      <c r="B1024" s="455">
        <f>VLOOKUP(LEFT($C$3:$C$2600,3),Table!$D$2:$E$88,2,FALSE)</f>
        <v>0</v>
      </c>
      <c r="C1024" s="455" t="str">
        <f t="shared" si="31"/>
        <v>9151701200</v>
      </c>
      <c r="D1024" s="455" t="e">
        <f>VLOOKUP(G1024,Table!$G$3:$H$21,2,FALSE)</f>
        <v>#N/A</v>
      </c>
      <c r="E1024" s="452" t="s">
        <v>902</v>
      </c>
      <c r="F1024" s="452" t="s">
        <v>1391</v>
      </c>
      <c r="G1024" s="452" t="s">
        <v>1385</v>
      </c>
      <c r="H1024" s="452" t="s">
        <v>1386</v>
      </c>
      <c r="I1024" s="453" t="s">
        <v>844</v>
      </c>
      <c r="J1024" s="453">
        <v>-1887.44</v>
      </c>
      <c r="K1024" s="461">
        <v>52.25</v>
      </c>
      <c r="L1024" s="461">
        <v>250.21</v>
      </c>
      <c r="M1024" s="461">
        <v>255.1</v>
      </c>
      <c r="N1024" s="461">
        <v>0</v>
      </c>
      <c r="O1024" s="461">
        <v>0</v>
      </c>
      <c r="P1024" s="461">
        <v>0</v>
      </c>
      <c r="Q1024" s="461">
        <v>0</v>
      </c>
      <c r="R1024" s="461">
        <v>0</v>
      </c>
      <c r="S1024" s="461">
        <v>0</v>
      </c>
      <c r="T1024" s="461">
        <v>0</v>
      </c>
      <c r="U1024" s="461">
        <v>0</v>
      </c>
      <c r="V1024" s="461">
        <v>0</v>
      </c>
    </row>
    <row r="1025" spans="1:22" s="455" customFormat="1" hidden="1">
      <c r="A1025" s="455" t="str">
        <f t="shared" si="30"/>
        <v>15109151801000</v>
      </c>
      <c r="B1025" s="455">
        <f>VLOOKUP(LEFT($C$3:$C$2600,3),Table!$D$2:$E$88,2,FALSE)</f>
        <v>0</v>
      </c>
      <c r="C1025" s="455" t="str">
        <f t="shared" si="31"/>
        <v>9151801000</v>
      </c>
      <c r="D1025" s="455" t="e">
        <f>VLOOKUP(G1025,Table!$G$3:$H$21,2,FALSE)</f>
        <v>#N/A</v>
      </c>
      <c r="E1025" s="452" t="s">
        <v>902</v>
      </c>
      <c r="F1025" s="452" t="s">
        <v>1391</v>
      </c>
      <c r="G1025" s="452" t="s">
        <v>1405</v>
      </c>
      <c r="H1025" s="452" t="s">
        <v>1406</v>
      </c>
      <c r="I1025" s="453" t="s">
        <v>844</v>
      </c>
      <c r="J1025" s="453">
        <v>1489.85</v>
      </c>
      <c r="K1025" s="461">
        <v>0</v>
      </c>
      <c r="L1025" s="461">
        <v>1465</v>
      </c>
      <c r="M1025" s="461">
        <v>24.85</v>
      </c>
      <c r="N1025" s="461">
        <v>0</v>
      </c>
      <c r="O1025" s="461">
        <v>0</v>
      </c>
      <c r="P1025" s="461">
        <v>0</v>
      </c>
      <c r="Q1025" s="461">
        <v>0</v>
      </c>
      <c r="R1025" s="461">
        <v>0</v>
      </c>
      <c r="S1025" s="461">
        <v>0</v>
      </c>
      <c r="T1025" s="461">
        <v>0</v>
      </c>
      <c r="U1025" s="461">
        <v>0</v>
      </c>
      <c r="V1025" s="461">
        <v>0</v>
      </c>
    </row>
    <row r="1026" spans="1:22" s="455" customFormat="1" hidden="1">
      <c r="A1026" s="455" t="str">
        <f t="shared" si="30"/>
        <v>15109151801100</v>
      </c>
      <c r="B1026" s="455">
        <f>VLOOKUP(LEFT($C$3:$C$2600,3),Table!$D$2:$E$88,2,FALSE)</f>
        <v>0</v>
      </c>
      <c r="C1026" s="455" t="str">
        <f t="shared" si="31"/>
        <v>9151801100</v>
      </c>
      <c r="D1026" s="455" t="e">
        <f>VLOOKUP(G1026,Table!$G$3:$H$21,2,FALSE)</f>
        <v>#N/A</v>
      </c>
      <c r="E1026" s="452" t="s">
        <v>902</v>
      </c>
      <c r="F1026" s="452" t="s">
        <v>1391</v>
      </c>
      <c r="G1026" s="452" t="s">
        <v>1017</v>
      </c>
      <c r="H1026" s="452" t="s">
        <v>1018</v>
      </c>
      <c r="I1026" s="453" t="s">
        <v>844</v>
      </c>
      <c r="J1026" s="453">
        <v>1274.9000000000001</v>
      </c>
      <c r="K1026" s="461">
        <v>654.53</v>
      </c>
      <c r="L1026" s="461">
        <v>330.01</v>
      </c>
      <c r="M1026" s="461">
        <v>290.36</v>
      </c>
      <c r="N1026" s="461">
        <v>0</v>
      </c>
      <c r="O1026" s="461">
        <v>0</v>
      </c>
      <c r="P1026" s="461">
        <v>0</v>
      </c>
      <c r="Q1026" s="461">
        <v>0</v>
      </c>
      <c r="R1026" s="461">
        <v>0</v>
      </c>
      <c r="S1026" s="461">
        <v>0</v>
      </c>
      <c r="T1026" s="461">
        <v>0</v>
      </c>
      <c r="U1026" s="461">
        <v>0</v>
      </c>
      <c r="V1026" s="461">
        <v>0</v>
      </c>
    </row>
    <row r="1027" spans="1:22" s="455" customFormat="1" hidden="1">
      <c r="A1027" s="455" t="str">
        <f t="shared" si="30"/>
        <v>15109151801200</v>
      </c>
      <c r="B1027" s="455">
        <f>VLOOKUP(LEFT($C$3:$C$2600,3),Table!$D$2:$E$88,2,FALSE)</f>
        <v>0</v>
      </c>
      <c r="C1027" s="455" t="str">
        <f t="shared" si="31"/>
        <v>9151801200</v>
      </c>
      <c r="D1027" s="455" t="e">
        <f>VLOOKUP(G1027,Table!$G$3:$H$21,2,FALSE)</f>
        <v>#N/A</v>
      </c>
      <c r="E1027" s="452" t="s">
        <v>902</v>
      </c>
      <c r="F1027" s="452" t="s">
        <v>1391</v>
      </c>
      <c r="G1027" s="452" t="s">
        <v>1332</v>
      </c>
      <c r="H1027" s="452" t="s">
        <v>1333</v>
      </c>
      <c r="I1027" s="453" t="s">
        <v>844</v>
      </c>
      <c r="J1027" s="453">
        <v>2100</v>
      </c>
      <c r="K1027" s="461">
        <v>700</v>
      </c>
      <c r="L1027" s="461">
        <v>700</v>
      </c>
      <c r="M1027" s="461">
        <v>700</v>
      </c>
      <c r="N1027" s="461">
        <v>0</v>
      </c>
      <c r="O1027" s="461">
        <v>0</v>
      </c>
      <c r="P1027" s="461">
        <v>0</v>
      </c>
      <c r="Q1027" s="461">
        <v>0</v>
      </c>
      <c r="R1027" s="461">
        <v>0</v>
      </c>
      <c r="S1027" s="461">
        <v>0</v>
      </c>
      <c r="T1027" s="461">
        <v>0</v>
      </c>
      <c r="U1027" s="461">
        <v>0</v>
      </c>
      <c r="V1027" s="461">
        <v>0</v>
      </c>
    </row>
    <row r="1028" spans="1:22" s="455" customFormat="1" hidden="1">
      <c r="A1028" s="455" t="str">
        <f t="shared" ref="A1028:A1091" si="32">F1028&amp;G1028</f>
        <v>15109151801400</v>
      </c>
      <c r="B1028" s="455">
        <f>VLOOKUP(LEFT($C$3:$C$2600,3),Table!$D$2:$E$88,2,FALSE)</f>
        <v>0</v>
      </c>
      <c r="C1028" s="455" t="str">
        <f t="shared" ref="C1028:C1091" si="33">IF(ISNA(D1028),G1028,D1028)</f>
        <v>9151801400</v>
      </c>
      <c r="D1028" s="455" t="e">
        <f>VLOOKUP(G1028,Table!$G$3:$H$21,2,FALSE)</f>
        <v>#N/A</v>
      </c>
      <c r="E1028" s="452" t="s">
        <v>902</v>
      </c>
      <c r="F1028" s="452" t="s">
        <v>1391</v>
      </c>
      <c r="G1028" s="452" t="s">
        <v>1407</v>
      </c>
      <c r="H1028" s="452" t="s">
        <v>1408</v>
      </c>
      <c r="I1028" s="453" t="s">
        <v>844</v>
      </c>
      <c r="J1028" s="453">
        <v>12131.9</v>
      </c>
      <c r="K1028" s="461">
        <v>4195</v>
      </c>
      <c r="L1028" s="461">
        <v>3899.3</v>
      </c>
      <c r="M1028" s="461">
        <v>1803.7</v>
      </c>
      <c r="N1028" s="461">
        <v>0</v>
      </c>
      <c r="O1028" s="461">
        <v>0</v>
      </c>
      <c r="P1028" s="461">
        <v>0</v>
      </c>
      <c r="Q1028" s="461">
        <v>0</v>
      </c>
      <c r="R1028" s="461">
        <v>0</v>
      </c>
      <c r="S1028" s="461">
        <v>0</v>
      </c>
      <c r="T1028" s="461">
        <v>0</v>
      </c>
      <c r="U1028" s="461">
        <v>0</v>
      </c>
      <c r="V1028" s="461">
        <v>0</v>
      </c>
    </row>
    <row r="1029" spans="1:22" s="455" customFormat="1" hidden="1">
      <c r="A1029" s="455" t="str">
        <f t="shared" si="32"/>
        <v>15109151801500</v>
      </c>
      <c r="B1029" s="455">
        <f>VLOOKUP(LEFT($C$3:$C$2600,3),Table!$D$2:$E$88,2,FALSE)</f>
        <v>0</v>
      </c>
      <c r="C1029" s="455" t="str">
        <f t="shared" si="33"/>
        <v>9151801500</v>
      </c>
      <c r="D1029" s="455" t="e">
        <f>VLOOKUP(G1029,Table!$G$3:$H$21,2,FALSE)</f>
        <v>#N/A</v>
      </c>
      <c r="E1029" s="452" t="s">
        <v>902</v>
      </c>
      <c r="F1029" s="452" t="s">
        <v>1391</v>
      </c>
      <c r="G1029" s="452" t="s">
        <v>1168</v>
      </c>
      <c r="H1029" s="452" t="s">
        <v>1169</v>
      </c>
      <c r="I1029" s="453" t="s">
        <v>844</v>
      </c>
      <c r="J1029" s="453">
        <v>17.25</v>
      </c>
      <c r="K1029" s="461">
        <v>17.25</v>
      </c>
      <c r="L1029" s="461">
        <v>0</v>
      </c>
      <c r="M1029" s="461">
        <v>0</v>
      </c>
      <c r="N1029" s="461">
        <v>0</v>
      </c>
      <c r="O1029" s="461">
        <v>0</v>
      </c>
      <c r="P1029" s="461">
        <v>0</v>
      </c>
      <c r="Q1029" s="461">
        <v>0</v>
      </c>
      <c r="R1029" s="461">
        <v>0</v>
      </c>
      <c r="S1029" s="461">
        <v>0</v>
      </c>
      <c r="T1029" s="461">
        <v>0</v>
      </c>
      <c r="U1029" s="461">
        <v>0</v>
      </c>
      <c r="V1029" s="461">
        <v>0</v>
      </c>
    </row>
    <row r="1030" spans="1:22" s="455" customFormat="1" hidden="1">
      <c r="A1030" s="455" t="str">
        <f t="shared" si="32"/>
        <v>15109151801800</v>
      </c>
      <c r="B1030" s="455">
        <f>VLOOKUP(LEFT($C$3:$C$2600,3),Table!$D$2:$E$88,2,FALSE)</f>
        <v>0</v>
      </c>
      <c r="C1030" s="455" t="str">
        <f t="shared" si="33"/>
        <v>9151801800</v>
      </c>
      <c r="D1030" s="455" t="e">
        <f>VLOOKUP(G1030,Table!$G$3:$H$21,2,FALSE)</f>
        <v>#N/A</v>
      </c>
      <c r="E1030" s="452" t="s">
        <v>902</v>
      </c>
      <c r="F1030" s="452" t="s">
        <v>1391</v>
      </c>
      <c r="G1030" s="452" t="s">
        <v>1374</v>
      </c>
      <c r="H1030" s="452" t="s">
        <v>1375</v>
      </c>
      <c r="I1030" s="453" t="s">
        <v>844</v>
      </c>
      <c r="J1030" s="453">
        <v>98.5</v>
      </c>
      <c r="K1030" s="461">
        <v>24.5</v>
      </c>
      <c r="L1030" s="461">
        <v>6</v>
      </c>
      <c r="M1030" s="461">
        <v>68</v>
      </c>
      <c r="N1030" s="461">
        <v>0</v>
      </c>
      <c r="O1030" s="461">
        <v>0</v>
      </c>
      <c r="P1030" s="461">
        <v>0</v>
      </c>
      <c r="Q1030" s="461">
        <v>0</v>
      </c>
      <c r="R1030" s="461">
        <v>0</v>
      </c>
      <c r="S1030" s="461">
        <v>0</v>
      </c>
      <c r="T1030" s="461">
        <v>0</v>
      </c>
      <c r="U1030" s="461">
        <v>0</v>
      </c>
      <c r="V1030" s="461">
        <v>0</v>
      </c>
    </row>
    <row r="1031" spans="1:22" s="455" customFormat="1" hidden="1">
      <c r="A1031" s="455" t="str">
        <f t="shared" si="32"/>
        <v>15109151802000</v>
      </c>
      <c r="B1031" s="455">
        <f>VLOOKUP(LEFT($C$3:$C$2600,3),Table!$D$2:$E$88,2,FALSE)</f>
        <v>0</v>
      </c>
      <c r="C1031" s="455" t="str">
        <f t="shared" si="33"/>
        <v>9151802000</v>
      </c>
      <c r="D1031" s="455" t="e">
        <f>VLOOKUP(G1031,Table!$G$3:$H$21,2,FALSE)</f>
        <v>#N/A</v>
      </c>
      <c r="E1031" s="452" t="s">
        <v>902</v>
      </c>
      <c r="F1031" s="452" t="s">
        <v>1391</v>
      </c>
      <c r="G1031" s="452" t="s">
        <v>1409</v>
      </c>
      <c r="H1031" s="452" t="s">
        <v>1410</v>
      </c>
      <c r="I1031" s="453" t="s">
        <v>844</v>
      </c>
      <c r="J1031" s="453">
        <v>1110.9000000000001</v>
      </c>
      <c r="K1031" s="461">
        <v>0</v>
      </c>
      <c r="L1031" s="461">
        <v>0</v>
      </c>
      <c r="M1031" s="461">
        <v>1110.9000000000001</v>
      </c>
      <c r="N1031" s="461">
        <v>0</v>
      </c>
      <c r="O1031" s="461">
        <v>0</v>
      </c>
      <c r="P1031" s="461">
        <v>0</v>
      </c>
      <c r="Q1031" s="461">
        <v>0</v>
      </c>
      <c r="R1031" s="461">
        <v>0</v>
      </c>
      <c r="S1031" s="461">
        <v>0</v>
      </c>
      <c r="T1031" s="461">
        <v>0</v>
      </c>
      <c r="U1031" s="461">
        <v>0</v>
      </c>
      <c r="V1031" s="461">
        <v>0</v>
      </c>
    </row>
    <row r="1032" spans="1:22" s="455" customFormat="1" hidden="1">
      <c r="A1032" s="455" t="str">
        <f t="shared" si="32"/>
        <v>15109151802100</v>
      </c>
      <c r="B1032" s="455">
        <f>VLOOKUP(LEFT($C$3:$C$2600,3),Table!$D$2:$E$88,2,FALSE)</f>
        <v>0</v>
      </c>
      <c r="C1032" s="455" t="str">
        <f t="shared" si="33"/>
        <v>9151802100</v>
      </c>
      <c r="D1032" s="455" t="e">
        <f>VLOOKUP(G1032,Table!$G$3:$H$21,2,FALSE)</f>
        <v>#N/A</v>
      </c>
      <c r="E1032" s="452" t="s">
        <v>902</v>
      </c>
      <c r="F1032" s="452" t="s">
        <v>1391</v>
      </c>
      <c r="G1032" s="452" t="s">
        <v>1216</v>
      </c>
      <c r="H1032" s="452" t="s">
        <v>1217</v>
      </c>
      <c r="I1032" s="453" t="s">
        <v>844</v>
      </c>
      <c r="J1032" s="453">
        <v>16600</v>
      </c>
      <c r="K1032" s="461">
        <v>16600</v>
      </c>
      <c r="L1032" s="461">
        <v>0</v>
      </c>
      <c r="M1032" s="461">
        <v>0</v>
      </c>
      <c r="N1032" s="461">
        <v>0</v>
      </c>
      <c r="O1032" s="461">
        <v>0</v>
      </c>
      <c r="P1032" s="461">
        <v>0</v>
      </c>
      <c r="Q1032" s="461">
        <v>0</v>
      </c>
      <c r="R1032" s="461">
        <v>0</v>
      </c>
      <c r="S1032" s="461">
        <v>0</v>
      </c>
      <c r="T1032" s="461">
        <v>0</v>
      </c>
      <c r="U1032" s="461">
        <v>0</v>
      </c>
      <c r="V1032" s="461">
        <v>0</v>
      </c>
    </row>
    <row r="1033" spans="1:22" s="455" customFormat="1" hidden="1">
      <c r="A1033" s="455" t="str">
        <f t="shared" si="32"/>
        <v>15109152020814</v>
      </c>
      <c r="B1033" s="455">
        <f>VLOOKUP(LEFT($C$3:$C$2600,3),Table!$D$2:$E$88,2,FALSE)</f>
        <v>0</v>
      </c>
      <c r="C1033" s="455" t="str">
        <f t="shared" si="33"/>
        <v>9152020814</v>
      </c>
      <c r="D1033" s="455" t="e">
        <f>VLOOKUP(G1033,Table!$G$3:$H$21,2,FALSE)</f>
        <v>#N/A</v>
      </c>
      <c r="E1033" s="452" t="s">
        <v>902</v>
      </c>
      <c r="F1033" s="452" t="s">
        <v>1391</v>
      </c>
      <c r="G1033" s="452" t="s">
        <v>1411</v>
      </c>
      <c r="H1033" s="452" t="s">
        <v>1412</v>
      </c>
      <c r="I1033" s="453" t="s">
        <v>844</v>
      </c>
      <c r="J1033" s="453">
        <v>510</v>
      </c>
      <c r="K1033" s="461">
        <v>0</v>
      </c>
      <c r="L1033" s="461">
        <v>510</v>
      </c>
      <c r="M1033" s="461">
        <v>0</v>
      </c>
      <c r="N1033" s="461">
        <v>0</v>
      </c>
      <c r="O1033" s="461">
        <v>0</v>
      </c>
      <c r="P1033" s="461">
        <v>0</v>
      </c>
      <c r="Q1033" s="461">
        <v>0</v>
      </c>
      <c r="R1033" s="461">
        <v>0</v>
      </c>
      <c r="S1033" s="461">
        <v>0</v>
      </c>
      <c r="T1033" s="461">
        <v>0</v>
      </c>
      <c r="U1033" s="461">
        <v>0</v>
      </c>
      <c r="V1033" s="461">
        <v>0</v>
      </c>
    </row>
    <row r="1034" spans="1:22" s="455" customFormat="1" hidden="1">
      <c r="A1034" s="455" t="str">
        <f t="shared" si="32"/>
        <v>15109152050021</v>
      </c>
      <c r="B1034" s="455">
        <f>VLOOKUP(LEFT($C$3:$C$2600,3),Table!$D$2:$E$88,2,FALSE)</f>
        <v>0</v>
      </c>
      <c r="C1034" s="455" t="str">
        <f t="shared" si="33"/>
        <v>9152050021</v>
      </c>
      <c r="D1034" s="455" t="e">
        <f>VLOOKUP(G1034,Table!$G$3:$H$21,2,FALSE)</f>
        <v>#N/A</v>
      </c>
      <c r="E1034" s="452" t="s">
        <v>902</v>
      </c>
      <c r="F1034" s="452" t="s">
        <v>1391</v>
      </c>
      <c r="G1034" s="452" t="s">
        <v>1158</v>
      </c>
      <c r="H1034" s="452" t="s">
        <v>1159</v>
      </c>
      <c r="I1034" s="453" t="s">
        <v>844</v>
      </c>
      <c r="J1034" s="453">
        <v>3500</v>
      </c>
      <c r="K1034" s="461">
        <v>0</v>
      </c>
      <c r="L1034" s="461">
        <v>0</v>
      </c>
      <c r="M1034" s="461">
        <v>3500</v>
      </c>
      <c r="N1034" s="461">
        <v>0</v>
      </c>
      <c r="O1034" s="461">
        <v>0</v>
      </c>
      <c r="P1034" s="461">
        <v>0</v>
      </c>
      <c r="Q1034" s="461">
        <v>0</v>
      </c>
      <c r="R1034" s="461">
        <v>0</v>
      </c>
      <c r="S1034" s="461">
        <v>0</v>
      </c>
      <c r="T1034" s="461">
        <v>0</v>
      </c>
      <c r="U1034" s="461">
        <v>0</v>
      </c>
      <c r="V1034" s="461">
        <v>0</v>
      </c>
    </row>
    <row r="1035" spans="1:22" s="455" customFormat="1" hidden="1">
      <c r="A1035" s="455" t="str">
        <f t="shared" si="32"/>
        <v>15109152072800</v>
      </c>
      <c r="B1035" s="455">
        <f>VLOOKUP(LEFT($C$3:$C$2600,3),Table!$D$2:$E$88,2,FALSE)</f>
        <v>0</v>
      </c>
      <c r="C1035" s="455" t="str">
        <f t="shared" si="33"/>
        <v>9152072800</v>
      </c>
      <c r="D1035" s="455" t="e">
        <f>VLOOKUP(G1035,Table!$G$3:$H$21,2,FALSE)</f>
        <v>#N/A</v>
      </c>
      <c r="E1035" s="452" t="s">
        <v>902</v>
      </c>
      <c r="F1035" s="452" t="s">
        <v>1391</v>
      </c>
      <c r="G1035" s="452" t="s">
        <v>1380</v>
      </c>
      <c r="H1035" s="452" t="s">
        <v>1381</v>
      </c>
      <c r="I1035" s="453" t="s">
        <v>844</v>
      </c>
      <c r="J1035" s="453">
        <v>2620</v>
      </c>
      <c r="K1035" s="461">
        <v>120</v>
      </c>
      <c r="L1035" s="461">
        <v>2500</v>
      </c>
      <c r="M1035" s="461">
        <v>0</v>
      </c>
      <c r="N1035" s="461">
        <v>0</v>
      </c>
      <c r="O1035" s="461">
        <v>0</v>
      </c>
      <c r="P1035" s="461">
        <v>0</v>
      </c>
      <c r="Q1035" s="461">
        <v>0</v>
      </c>
      <c r="R1035" s="461">
        <v>0</v>
      </c>
      <c r="S1035" s="461">
        <v>0</v>
      </c>
      <c r="T1035" s="461">
        <v>0</v>
      </c>
      <c r="U1035" s="461">
        <v>0</v>
      </c>
      <c r="V1035" s="461">
        <v>0</v>
      </c>
    </row>
    <row r="1036" spans="1:22" s="455" customFormat="1" hidden="1">
      <c r="A1036" s="455" t="str">
        <f t="shared" si="32"/>
        <v>15109152402000</v>
      </c>
      <c r="B1036" s="455">
        <f>VLOOKUP(LEFT($C$3:$C$2600,3),Table!$D$2:$E$88,2,FALSE)</f>
        <v>0</v>
      </c>
      <c r="C1036" s="455" t="str">
        <f t="shared" si="33"/>
        <v>9152402000</v>
      </c>
      <c r="D1036" s="455" t="e">
        <f>VLOOKUP(G1036,Table!$G$3:$H$21,2,FALSE)</f>
        <v>#N/A</v>
      </c>
      <c r="E1036" s="452" t="s">
        <v>902</v>
      </c>
      <c r="F1036" s="452" t="s">
        <v>1391</v>
      </c>
      <c r="G1036" s="452" t="s">
        <v>1382</v>
      </c>
      <c r="H1036" s="452" t="s">
        <v>1383</v>
      </c>
      <c r="I1036" s="453" t="s">
        <v>844</v>
      </c>
      <c r="J1036" s="453">
        <v>24604</v>
      </c>
      <c r="K1036" s="461">
        <v>14085</v>
      </c>
      <c r="L1036" s="461">
        <v>6930</v>
      </c>
      <c r="M1036" s="461">
        <v>2335</v>
      </c>
      <c r="N1036" s="461">
        <v>0</v>
      </c>
      <c r="O1036" s="461">
        <v>0</v>
      </c>
      <c r="P1036" s="461">
        <v>0</v>
      </c>
      <c r="Q1036" s="461">
        <v>0</v>
      </c>
      <c r="R1036" s="461">
        <v>0</v>
      </c>
      <c r="S1036" s="461">
        <v>0</v>
      </c>
      <c r="T1036" s="461">
        <v>0</v>
      </c>
      <c r="U1036" s="461">
        <v>0</v>
      </c>
      <c r="V1036" s="461">
        <v>0</v>
      </c>
    </row>
    <row r="1037" spans="1:22" s="455" customFormat="1" hidden="1">
      <c r="A1037" s="455" t="str">
        <f t="shared" si="32"/>
        <v>15109152701019</v>
      </c>
      <c r="B1037" s="455">
        <f>VLOOKUP(LEFT($C$3:$C$2600,3),Table!$D$2:$E$88,2,FALSE)</f>
        <v>0</v>
      </c>
      <c r="C1037" s="455" t="str">
        <f t="shared" si="33"/>
        <v>9152701019</v>
      </c>
      <c r="D1037" s="455" t="e">
        <f>VLOOKUP(G1037,Table!$G$3:$H$21,2,FALSE)</f>
        <v>#N/A</v>
      </c>
      <c r="E1037" s="452" t="s">
        <v>902</v>
      </c>
      <c r="F1037" s="452" t="s">
        <v>1391</v>
      </c>
      <c r="G1037" s="452" t="s">
        <v>1413</v>
      </c>
      <c r="H1037" s="452" t="s">
        <v>1414</v>
      </c>
      <c r="I1037" s="453" t="s">
        <v>844</v>
      </c>
      <c r="J1037" s="453">
        <v>9400.52</v>
      </c>
      <c r="K1037" s="461">
        <v>1366.32</v>
      </c>
      <c r="L1037" s="461">
        <v>8034.2</v>
      </c>
      <c r="M1037" s="461">
        <v>0</v>
      </c>
      <c r="N1037" s="461">
        <v>0</v>
      </c>
      <c r="O1037" s="461">
        <v>0</v>
      </c>
      <c r="P1037" s="461">
        <v>0</v>
      </c>
      <c r="Q1037" s="461">
        <v>0</v>
      </c>
      <c r="R1037" s="461">
        <v>0</v>
      </c>
      <c r="S1037" s="461">
        <v>0</v>
      </c>
      <c r="T1037" s="461">
        <v>0</v>
      </c>
      <c r="U1037" s="461">
        <v>0</v>
      </c>
      <c r="V1037" s="461">
        <v>0</v>
      </c>
    </row>
    <row r="1038" spans="1:22" s="455" customFormat="1" hidden="1">
      <c r="A1038" s="455" t="str">
        <f t="shared" si="32"/>
        <v>15109152701020</v>
      </c>
      <c r="B1038" s="455">
        <f>VLOOKUP(LEFT($C$3:$C$2600,3),Table!$D$2:$E$88,2,FALSE)</f>
        <v>0</v>
      </c>
      <c r="C1038" s="455" t="str">
        <f t="shared" si="33"/>
        <v>9152701020</v>
      </c>
      <c r="D1038" s="455" t="e">
        <f>VLOOKUP(G1038,Table!$G$3:$H$21,2,FALSE)</f>
        <v>#N/A</v>
      </c>
      <c r="E1038" s="452" t="s">
        <v>902</v>
      </c>
      <c r="F1038" s="452" t="s">
        <v>1391</v>
      </c>
      <c r="G1038" s="452" t="s">
        <v>1415</v>
      </c>
      <c r="H1038" s="452" t="s">
        <v>1416</v>
      </c>
      <c r="I1038" s="453" t="s">
        <v>844</v>
      </c>
      <c r="J1038" s="453">
        <v>333.27</v>
      </c>
      <c r="K1038" s="461">
        <v>0</v>
      </c>
      <c r="L1038" s="461">
        <v>0</v>
      </c>
      <c r="M1038" s="461">
        <v>333.27</v>
      </c>
      <c r="N1038" s="461">
        <v>0</v>
      </c>
      <c r="O1038" s="461">
        <v>0</v>
      </c>
      <c r="P1038" s="461">
        <v>0</v>
      </c>
      <c r="Q1038" s="461">
        <v>0</v>
      </c>
      <c r="R1038" s="461">
        <v>0</v>
      </c>
      <c r="S1038" s="461">
        <v>0</v>
      </c>
      <c r="T1038" s="461">
        <v>0</v>
      </c>
      <c r="U1038" s="461">
        <v>0</v>
      </c>
      <c r="V1038" s="461">
        <v>0</v>
      </c>
    </row>
    <row r="1039" spans="1:22" s="455" customFormat="1" hidden="1">
      <c r="A1039" s="455" t="str">
        <f t="shared" si="32"/>
        <v>15109152701023</v>
      </c>
      <c r="B1039" s="455">
        <f>VLOOKUP(LEFT($C$3:$C$2600,3),Table!$D$2:$E$88,2,FALSE)</f>
        <v>0</v>
      </c>
      <c r="C1039" s="455" t="str">
        <f t="shared" si="33"/>
        <v>9152701023</v>
      </c>
      <c r="D1039" s="455" t="e">
        <f>VLOOKUP(G1039,Table!$G$3:$H$21,2,FALSE)</f>
        <v>#N/A</v>
      </c>
      <c r="E1039" s="452" t="s">
        <v>902</v>
      </c>
      <c r="F1039" s="452" t="s">
        <v>1391</v>
      </c>
      <c r="G1039" s="452" t="s">
        <v>1417</v>
      </c>
      <c r="H1039" s="452" t="s">
        <v>1418</v>
      </c>
      <c r="I1039" s="453" t="s">
        <v>844</v>
      </c>
      <c r="J1039" s="453">
        <v>546.16999999999996</v>
      </c>
      <c r="K1039" s="461">
        <v>-575</v>
      </c>
      <c r="L1039" s="461">
        <v>26.17</v>
      </c>
      <c r="M1039" s="461">
        <v>1095</v>
      </c>
      <c r="N1039" s="461">
        <v>0</v>
      </c>
      <c r="O1039" s="461">
        <v>0</v>
      </c>
      <c r="P1039" s="461">
        <v>0</v>
      </c>
      <c r="Q1039" s="461">
        <v>0</v>
      </c>
      <c r="R1039" s="461">
        <v>0</v>
      </c>
      <c r="S1039" s="461">
        <v>0</v>
      </c>
      <c r="T1039" s="461">
        <v>0</v>
      </c>
      <c r="U1039" s="461">
        <v>0</v>
      </c>
      <c r="V1039" s="461">
        <v>0</v>
      </c>
    </row>
    <row r="1040" spans="1:22" s="464" customFormat="1" hidden="1">
      <c r="A1040" s="455" t="str">
        <f t="shared" si="32"/>
        <v>15109152701024</v>
      </c>
      <c r="B1040" s="455">
        <f>VLOOKUP(LEFT($C$3:$C$2600,3),Table!$D$2:$E$88,2,FALSE)</f>
        <v>0</v>
      </c>
      <c r="C1040" s="455" t="str">
        <f t="shared" si="33"/>
        <v>9152701024</v>
      </c>
      <c r="D1040" s="455" t="e">
        <f>VLOOKUP(G1040,Table!$G$3:$H$21,2,FALSE)</f>
        <v>#N/A</v>
      </c>
      <c r="E1040" s="452" t="s">
        <v>902</v>
      </c>
      <c r="F1040" s="452" t="s">
        <v>1391</v>
      </c>
      <c r="G1040" s="452" t="s">
        <v>2553</v>
      </c>
      <c r="H1040" s="452" t="s">
        <v>2554</v>
      </c>
      <c r="I1040" s="453" t="s">
        <v>844</v>
      </c>
      <c r="J1040" s="453">
        <v>489</v>
      </c>
      <c r="K1040" s="461">
        <v>489</v>
      </c>
      <c r="L1040" s="461">
        <v>0</v>
      </c>
      <c r="M1040" s="461">
        <v>0</v>
      </c>
      <c r="N1040" s="461">
        <v>0</v>
      </c>
      <c r="O1040" s="461">
        <v>0</v>
      </c>
      <c r="P1040" s="461">
        <v>0</v>
      </c>
      <c r="Q1040" s="461">
        <v>0</v>
      </c>
      <c r="R1040" s="461">
        <v>0</v>
      </c>
      <c r="S1040" s="461">
        <v>0</v>
      </c>
      <c r="T1040" s="461">
        <v>0</v>
      </c>
      <c r="U1040" s="461">
        <v>0</v>
      </c>
      <c r="V1040" s="461">
        <v>0</v>
      </c>
    </row>
    <row r="1041" spans="1:22" s="455" customFormat="1" hidden="1">
      <c r="A1041" s="455" t="str">
        <f t="shared" si="32"/>
        <v>15109152701034</v>
      </c>
      <c r="B1041" s="455">
        <f>VLOOKUP(LEFT($C$3:$C$2600,3),Table!$D$2:$E$88,2,FALSE)</f>
        <v>0</v>
      </c>
      <c r="C1041" s="455" t="str">
        <f t="shared" si="33"/>
        <v>9152701034</v>
      </c>
      <c r="D1041" s="455" t="e">
        <f>VLOOKUP(G1041,Table!$G$3:$H$21,2,FALSE)</f>
        <v>#N/A</v>
      </c>
      <c r="E1041" s="452" t="s">
        <v>902</v>
      </c>
      <c r="F1041" s="452" t="s">
        <v>1391</v>
      </c>
      <c r="G1041" s="452" t="s">
        <v>1420</v>
      </c>
      <c r="H1041" s="452" t="s">
        <v>1421</v>
      </c>
      <c r="I1041" s="453" t="s">
        <v>844</v>
      </c>
      <c r="J1041" s="453">
        <v>2076.62</v>
      </c>
      <c r="K1041" s="461">
        <v>636.79999999999995</v>
      </c>
      <c r="L1041" s="461">
        <v>798.8</v>
      </c>
      <c r="M1041" s="461">
        <v>641.02</v>
      </c>
      <c r="N1041" s="461">
        <v>0</v>
      </c>
      <c r="O1041" s="461">
        <v>0</v>
      </c>
      <c r="P1041" s="461">
        <v>0</v>
      </c>
      <c r="Q1041" s="461">
        <v>0</v>
      </c>
      <c r="R1041" s="461">
        <v>0</v>
      </c>
      <c r="S1041" s="461">
        <v>0</v>
      </c>
      <c r="T1041" s="461">
        <v>0</v>
      </c>
      <c r="U1041" s="461">
        <v>0</v>
      </c>
      <c r="V1041" s="461">
        <v>0</v>
      </c>
    </row>
    <row r="1042" spans="1:22" s="455" customFormat="1" hidden="1">
      <c r="A1042" s="455" t="str">
        <f t="shared" si="32"/>
        <v>15109152701119</v>
      </c>
      <c r="B1042" s="455">
        <f>VLOOKUP(LEFT($C$3:$C$2600,3),Table!$D$2:$E$88,2,FALSE)</f>
        <v>0</v>
      </c>
      <c r="C1042" s="455" t="str">
        <f t="shared" si="33"/>
        <v>9152701119</v>
      </c>
      <c r="D1042" s="455" t="e">
        <f>VLOOKUP(G1042,Table!$G$3:$H$21,2,FALSE)</f>
        <v>#N/A</v>
      </c>
      <c r="E1042" s="452" t="s">
        <v>902</v>
      </c>
      <c r="F1042" s="452" t="s">
        <v>1391</v>
      </c>
      <c r="G1042" s="452" t="s">
        <v>1422</v>
      </c>
      <c r="H1042" s="452" t="s">
        <v>1423</v>
      </c>
      <c r="I1042" s="453" t="s">
        <v>844</v>
      </c>
      <c r="J1042" s="453">
        <v>393.98</v>
      </c>
      <c r="K1042" s="461">
        <v>131.97999999999999</v>
      </c>
      <c r="L1042" s="461">
        <v>131</v>
      </c>
      <c r="M1042" s="461">
        <v>131</v>
      </c>
      <c r="N1042" s="461">
        <v>0</v>
      </c>
      <c r="O1042" s="461">
        <v>0</v>
      </c>
      <c r="P1042" s="461">
        <v>0</v>
      </c>
      <c r="Q1042" s="461">
        <v>0</v>
      </c>
      <c r="R1042" s="461">
        <v>0</v>
      </c>
      <c r="S1042" s="461">
        <v>0</v>
      </c>
      <c r="T1042" s="461">
        <v>0</v>
      </c>
      <c r="U1042" s="461">
        <v>0</v>
      </c>
      <c r="V1042" s="461">
        <v>0</v>
      </c>
    </row>
    <row r="1043" spans="1:22" s="455" customFormat="1" hidden="1">
      <c r="A1043" s="455" t="str">
        <f t="shared" si="32"/>
        <v>15109152701120</v>
      </c>
      <c r="B1043" s="455">
        <f>VLOOKUP(LEFT($C$3:$C$2600,3),Table!$D$2:$E$88,2,FALSE)</f>
        <v>0</v>
      </c>
      <c r="C1043" s="455" t="str">
        <f t="shared" si="33"/>
        <v>9152701120</v>
      </c>
      <c r="D1043" s="455" t="e">
        <f>VLOOKUP(G1043,Table!$G$3:$H$21,2,FALSE)</f>
        <v>#N/A</v>
      </c>
      <c r="E1043" s="452" t="s">
        <v>902</v>
      </c>
      <c r="F1043" s="452" t="s">
        <v>1391</v>
      </c>
      <c r="G1043" s="452" t="s">
        <v>1424</v>
      </c>
      <c r="H1043" s="452" t="s">
        <v>1425</v>
      </c>
      <c r="I1043" s="453" t="s">
        <v>844</v>
      </c>
      <c r="J1043" s="453">
        <v>197.22</v>
      </c>
      <c r="K1043" s="461">
        <v>69.22</v>
      </c>
      <c r="L1043" s="461">
        <v>64</v>
      </c>
      <c r="M1043" s="461">
        <v>64</v>
      </c>
      <c r="N1043" s="461">
        <v>0</v>
      </c>
      <c r="O1043" s="461">
        <v>0</v>
      </c>
      <c r="P1043" s="461">
        <v>0</v>
      </c>
      <c r="Q1043" s="461">
        <v>0</v>
      </c>
      <c r="R1043" s="461">
        <v>0</v>
      </c>
      <c r="S1043" s="461">
        <v>0</v>
      </c>
      <c r="T1043" s="461">
        <v>0</v>
      </c>
      <c r="U1043" s="461">
        <v>0</v>
      </c>
      <c r="V1043" s="461">
        <v>0</v>
      </c>
    </row>
    <row r="1044" spans="1:22" s="455" customFormat="1" hidden="1">
      <c r="A1044" s="455" t="str">
        <f t="shared" si="32"/>
        <v>15109152701123</v>
      </c>
      <c r="B1044" s="455">
        <f>VLOOKUP(LEFT($C$3:$C$2600,3),Table!$D$2:$E$88,2,FALSE)</f>
        <v>0</v>
      </c>
      <c r="C1044" s="455" t="str">
        <f t="shared" si="33"/>
        <v>9152701123</v>
      </c>
      <c r="D1044" s="455" t="e">
        <f>VLOOKUP(G1044,Table!$G$3:$H$21,2,FALSE)</f>
        <v>#N/A</v>
      </c>
      <c r="E1044" s="452" t="s">
        <v>902</v>
      </c>
      <c r="F1044" s="452" t="s">
        <v>1391</v>
      </c>
      <c r="G1044" s="452" t="s">
        <v>1426</v>
      </c>
      <c r="H1044" s="452" t="s">
        <v>1427</v>
      </c>
      <c r="I1044" s="453" t="s">
        <v>844</v>
      </c>
      <c r="J1044" s="453">
        <v>186.78</v>
      </c>
      <c r="K1044" s="461">
        <v>58.78</v>
      </c>
      <c r="L1044" s="461">
        <v>64</v>
      </c>
      <c r="M1044" s="461">
        <v>64</v>
      </c>
      <c r="N1044" s="461">
        <v>0</v>
      </c>
      <c r="O1044" s="461">
        <v>0</v>
      </c>
      <c r="P1044" s="461">
        <v>0</v>
      </c>
      <c r="Q1044" s="461">
        <v>0</v>
      </c>
      <c r="R1044" s="461">
        <v>0</v>
      </c>
      <c r="S1044" s="461">
        <v>0</v>
      </c>
      <c r="T1044" s="461">
        <v>0</v>
      </c>
      <c r="U1044" s="461">
        <v>0</v>
      </c>
      <c r="V1044" s="461">
        <v>0</v>
      </c>
    </row>
    <row r="1045" spans="1:22" s="455" customFormat="1" hidden="1">
      <c r="A1045" s="455" t="str">
        <f t="shared" si="32"/>
        <v>15109152701124</v>
      </c>
      <c r="B1045" s="455">
        <f>VLOOKUP(LEFT($C$3:$C$2600,3),Table!$D$2:$E$88,2,FALSE)</f>
        <v>0</v>
      </c>
      <c r="C1045" s="455" t="str">
        <f t="shared" si="33"/>
        <v>9152701124</v>
      </c>
      <c r="D1045" s="455" t="e">
        <f>VLOOKUP(G1045,Table!$G$3:$H$21,2,FALSE)</f>
        <v>#N/A</v>
      </c>
      <c r="E1045" s="452" t="s">
        <v>902</v>
      </c>
      <c r="F1045" s="452" t="s">
        <v>1391</v>
      </c>
      <c r="G1045" s="452" t="s">
        <v>2555</v>
      </c>
      <c r="H1045" s="452" t="s">
        <v>1615</v>
      </c>
      <c r="I1045" s="453" t="s">
        <v>844</v>
      </c>
      <c r="J1045" s="453">
        <v>252.85</v>
      </c>
      <c r="K1045" s="461">
        <v>86.85</v>
      </c>
      <c r="L1045" s="461">
        <v>83</v>
      </c>
      <c r="M1045" s="461">
        <v>83</v>
      </c>
      <c r="N1045" s="461">
        <v>0</v>
      </c>
      <c r="O1045" s="461">
        <v>0</v>
      </c>
      <c r="P1045" s="461">
        <v>0</v>
      </c>
      <c r="Q1045" s="461">
        <v>0</v>
      </c>
      <c r="R1045" s="461">
        <v>0</v>
      </c>
      <c r="S1045" s="461">
        <v>0</v>
      </c>
      <c r="T1045" s="461">
        <v>0</v>
      </c>
      <c r="U1045" s="461">
        <v>0</v>
      </c>
      <c r="V1045" s="461">
        <v>0</v>
      </c>
    </row>
    <row r="1046" spans="1:22" s="455" customFormat="1" hidden="1">
      <c r="A1046" s="455" t="str">
        <f t="shared" si="32"/>
        <v>15109152701127</v>
      </c>
      <c r="B1046" s="455">
        <f>VLOOKUP(LEFT($C$3:$C$2600,3),Table!$D$2:$E$88,2,FALSE)</f>
        <v>0</v>
      </c>
      <c r="C1046" s="455" t="str">
        <f t="shared" si="33"/>
        <v>9152701127</v>
      </c>
      <c r="D1046" s="455" t="e">
        <f>VLOOKUP(G1046,Table!$G$3:$H$21,2,FALSE)</f>
        <v>#N/A</v>
      </c>
      <c r="E1046" s="452" t="s">
        <v>902</v>
      </c>
      <c r="F1046" s="452" t="s">
        <v>1391</v>
      </c>
      <c r="G1046" s="452" t="s">
        <v>1428</v>
      </c>
      <c r="H1046" s="452" t="s">
        <v>1429</v>
      </c>
      <c r="I1046" s="453" t="s">
        <v>844</v>
      </c>
      <c r="J1046" s="453">
        <v>172.84</v>
      </c>
      <c r="K1046" s="461">
        <v>60.84</v>
      </c>
      <c r="L1046" s="461">
        <v>56</v>
      </c>
      <c r="M1046" s="461">
        <v>56</v>
      </c>
      <c r="N1046" s="461">
        <v>0</v>
      </c>
      <c r="O1046" s="461">
        <v>0</v>
      </c>
      <c r="P1046" s="461">
        <v>0</v>
      </c>
      <c r="Q1046" s="461">
        <v>0</v>
      </c>
      <c r="R1046" s="461">
        <v>0</v>
      </c>
      <c r="S1046" s="461">
        <v>0</v>
      </c>
      <c r="T1046" s="461">
        <v>0</v>
      </c>
      <c r="U1046" s="461">
        <v>0</v>
      </c>
      <c r="V1046" s="461">
        <v>0</v>
      </c>
    </row>
    <row r="1047" spans="1:22" s="455" customFormat="1" hidden="1">
      <c r="A1047" s="455" t="str">
        <f t="shared" si="32"/>
        <v>15109152701134</v>
      </c>
      <c r="B1047" s="455">
        <f>VLOOKUP(LEFT($C$3:$C$2600,3),Table!$D$2:$E$88,2,FALSE)</f>
        <v>0</v>
      </c>
      <c r="C1047" s="455" t="str">
        <f t="shared" si="33"/>
        <v>9152701134</v>
      </c>
      <c r="D1047" s="455" t="e">
        <f>VLOOKUP(G1047,Table!$G$3:$H$21,2,FALSE)</f>
        <v>#N/A</v>
      </c>
      <c r="E1047" s="452" t="s">
        <v>902</v>
      </c>
      <c r="F1047" s="452" t="s">
        <v>1391</v>
      </c>
      <c r="G1047" s="452" t="s">
        <v>1430</v>
      </c>
      <c r="H1047" s="452" t="s">
        <v>1431</v>
      </c>
      <c r="I1047" s="453" t="s">
        <v>844</v>
      </c>
      <c r="J1047" s="453">
        <v>347.64</v>
      </c>
      <c r="K1047" s="461">
        <v>117.64</v>
      </c>
      <c r="L1047" s="461">
        <v>115</v>
      </c>
      <c r="M1047" s="461">
        <v>115</v>
      </c>
      <c r="N1047" s="461">
        <v>0</v>
      </c>
      <c r="O1047" s="461">
        <v>0</v>
      </c>
      <c r="P1047" s="461">
        <v>0</v>
      </c>
      <c r="Q1047" s="461">
        <v>0</v>
      </c>
      <c r="R1047" s="461">
        <v>0</v>
      </c>
      <c r="S1047" s="461">
        <v>0</v>
      </c>
      <c r="T1047" s="461">
        <v>0</v>
      </c>
      <c r="U1047" s="461">
        <v>0</v>
      </c>
      <c r="V1047" s="461">
        <v>0</v>
      </c>
    </row>
    <row r="1048" spans="1:22" s="455" customFormat="1" hidden="1">
      <c r="A1048" s="455" t="str">
        <f t="shared" si="32"/>
        <v>15109152701220</v>
      </c>
      <c r="B1048" s="455">
        <f>VLOOKUP(LEFT($C$3:$C$2600,3),Table!$D$2:$E$88,2,FALSE)</f>
        <v>0</v>
      </c>
      <c r="C1048" s="455" t="str">
        <f t="shared" si="33"/>
        <v>9152701220</v>
      </c>
      <c r="D1048" s="455" t="e">
        <f>VLOOKUP(G1048,Table!$G$3:$H$21,2,FALSE)</f>
        <v>#N/A</v>
      </c>
      <c r="E1048" s="452" t="s">
        <v>902</v>
      </c>
      <c r="F1048" s="452" t="s">
        <v>1391</v>
      </c>
      <c r="G1048" s="452" t="s">
        <v>1432</v>
      </c>
      <c r="H1048" s="452" t="s">
        <v>1433</v>
      </c>
      <c r="I1048" s="453" t="s">
        <v>844</v>
      </c>
      <c r="J1048" s="453">
        <v>759</v>
      </c>
      <c r="K1048" s="461">
        <v>0</v>
      </c>
      <c r="L1048" s="461">
        <v>0</v>
      </c>
      <c r="M1048" s="461">
        <v>0</v>
      </c>
      <c r="N1048" s="461">
        <v>0</v>
      </c>
      <c r="O1048" s="461">
        <v>0</v>
      </c>
      <c r="P1048" s="461">
        <v>0</v>
      </c>
      <c r="Q1048" s="461">
        <v>0</v>
      </c>
      <c r="R1048" s="461">
        <v>0</v>
      </c>
      <c r="S1048" s="461">
        <v>0</v>
      </c>
      <c r="T1048" s="461">
        <v>0</v>
      </c>
      <c r="U1048" s="461">
        <v>0</v>
      </c>
      <c r="V1048" s="461">
        <v>0</v>
      </c>
    </row>
    <row r="1049" spans="1:22" s="455" customFormat="1" hidden="1">
      <c r="A1049" s="455" t="str">
        <f t="shared" si="32"/>
        <v>15109152701234</v>
      </c>
      <c r="B1049" s="455">
        <f>VLOOKUP(LEFT($C$3:$C$2600,3),Table!$D$2:$E$88,2,FALSE)</f>
        <v>0</v>
      </c>
      <c r="C1049" s="455" t="str">
        <f t="shared" si="33"/>
        <v>9152701234</v>
      </c>
      <c r="D1049" s="455" t="e">
        <f>VLOOKUP(G1049,Table!$G$3:$H$21,2,FALSE)</f>
        <v>#N/A</v>
      </c>
      <c r="E1049" s="452" t="s">
        <v>902</v>
      </c>
      <c r="F1049" s="452" t="s">
        <v>1391</v>
      </c>
      <c r="G1049" s="452" t="s">
        <v>1435</v>
      </c>
      <c r="H1049" s="452" t="s">
        <v>1436</v>
      </c>
      <c r="I1049" s="453" t="s">
        <v>844</v>
      </c>
      <c r="J1049" s="453">
        <v>1150.4000000000001</v>
      </c>
      <c r="K1049" s="461">
        <v>0</v>
      </c>
      <c r="L1049" s="461">
        <v>0</v>
      </c>
      <c r="M1049" s="461">
        <v>0</v>
      </c>
      <c r="N1049" s="461">
        <v>0</v>
      </c>
      <c r="O1049" s="461">
        <v>0</v>
      </c>
      <c r="P1049" s="461">
        <v>0</v>
      </c>
      <c r="Q1049" s="461">
        <v>0</v>
      </c>
      <c r="R1049" s="461">
        <v>0</v>
      </c>
      <c r="S1049" s="461">
        <v>0</v>
      </c>
      <c r="T1049" s="461">
        <v>0</v>
      </c>
      <c r="U1049" s="461">
        <v>0</v>
      </c>
      <c r="V1049" s="461">
        <v>0</v>
      </c>
    </row>
    <row r="1050" spans="1:22" s="455" customFormat="1" hidden="1">
      <c r="A1050" s="455" t="str">
        <f t="shared" si="32"/>
        <v>15109153001000</v>
      </c>
      <c r="B1050" s="455">
        <f>VLOOKUP(LEFT($C$3:$C$2600,3),Table!$D$2:$E$88,2,FALSE)</f>
        <v>0</v>
      </c>
      <c r="C1050" s="455" t="str">
        <f t="shared" si="33"/>
        <v>9153001000</v>
      </c>
      <c r="D1050" s="455" t="e">
        <f>VLOOKUP(G1050,Table!$G$3:$H$21,2,FALSE)</f>
        <v>#N/A</v>
      </c>
      <c r="E1050" s="452" t="s">
        <v>902</v>
      </c>
      <c r="F1050" s="452" t="s">
        <v>1391</v>
      </c>
      <c r="G1050" s="452" t="s">
        <v>1043</v>
      </c>
      <c r="H1050" s="452" t="s">
        <v>1044</v>
      </c>
      <c r="I1050" s="453" t="s">
        <v>844</v>
      </c>
      <c r="J1050" s="453">
        <v>7870</v>
      </c>
      <c r="K1050" s="461">
        <v>2580</v>
      </c>
      <c r="L1050" s="461">
        <v>2645</v>
      </c>
      <c r="M1050" s="461">
        <v>2645</v>
      </c>
      <c r="N1050" s="461">
        <v>0</v>
      </c>
      <c r="O1050" s="461">
        <v>0</v>
      </c>
      <c r="P1050" s="461">
        <v>0</v>
      </c>
      <c r="Q1050" s="461">
        <v>0</v>
      </c>
      <c r="R1050" s="461">
        <v>0</v>
      </c>
      <c r="S1050" s="461">
        <v>0</v>
      </c>
      <c r="T1050" s="461">
        <v>0</v>
      </c>
      <c r="U1050" s="461">
        <v>0</v>
      </c>
      <c r="V1050" s="461">
        <v>0</v>
      </c>
    </row>
    <row r="1051" spans="1:22" s="455" customFormat="1" hidden="1">
      <c r="A1051" s="455" t="str">
        <f t="shared" si="32"/>
        <v>15109153101300</v>
      </c>
      <c r="B1051" s="455">
        <f>VLOOKUP(LEFT($C$3:$C$2600,3),Table!$D$2:$E$88,2,FALSE)</f>
        <v>0</v>
      </c>
      <c r="C1051" s="455" t="str">
        <f t="shared" si="33"/>
        <v>9153101300</v>
      </c>
      <c r="D1051" s="455" t="e">
        <f>VLOOKUP(G1051,Table!$G$3:$H$21,2,FALSE)</f>
        <v>#N/A</v>
      </c>
      <c r="E1051" s="452" t="s">
        <v>902</v>
      </c>
      <c r="F1051" s="452" t="s">
        <v>1391</v>
      </c>
      <c r="G1051" s="452" t="s">
        <v>1437</v>
      </c>
      <c r="H1051" s="452" t="s">
        <v>1438</v>
      </c>
      <c r="I1051" s="453" t="s">
        <v>844</v>
      </c>
      <c r="J1051" s="453">
        <v>822</v>
      </c>
      <c r="K1051" s="461">
        <v>0</v>
      </c>
      <c r="L1051" s="461">
        <v>792</v>
      </c>
      <c r="M1051" s="461">
        <v>30</v>
      </c>
      <c r="N1051" s="461">
        <v>0</v>
      </c>
      <c r="O1051" s="461">
        <v>0</v>
      </c>
      <c r="P1051" s="461">
        <v>0</v>
      </c>
      <c r="Q1051" s="461">
        <v>0</v>
      </c>
      <c r="R1051" s="461">
        <v>0</v>
      </c>
      <c r="S1051" s="461">
        <v>0</v>
      </c>
      <c r="T1051" s="461">
        <v>0</v>
      </c>
      <c r="U1051" s="461">
        <v>0</v>
      </c>
      <c r="V1051" s="461">
        <v>0</v>
      </c>
    </row>
    <row r="1052" spans="1:22" s="455" customFormat="1" hidden="1">
      <c r="A1052" s="455" t="str">
        <f t="shared" si="32"/>
        <v>15109153301100</v>
      </c>
      <c r="B1052" s="455">
        <f>VLOOKUP(LEFT($C$3:$C$2600,3),Table!$D$2:$E$88,2,FALSE)</f>
        <v>0</v>
      </c>
      <c r="C1052" s="455" t="str">
        <f t="shared" si="33"/>
        <v>9153301100</v>
      </c>
      <c r="D1052" s="455" t="e">
        <f>VLOOKUP(G1052,Table!$G$3:$H$21,2,FALSE)</f>
        <v>#N/A</v>
      </c>
      <c r="E1052" s="452" t="s">
        <v>902</v>
      </c>
      <c r="F1052" s="452" t="s">
        <v>1391</v>
      </c>
      <c r="G1052" s="452" t="s">
        <v>1439</v>
      </c>
      <c r="H1052" s="452" t="s">
        <v>1440</v>
      </c>
      <c r="I1052" s="453" t="s">
        <v>844</v>
      </c>
      <c r="J1052" s="453">
        <v>73260</v>
      </c>
      <c r="K1052" s="461">
        <v>24420</v>
      </c>
      <c r="L1052" s="461">
        <v>24420</v>
      </c>
      <c r="M1052" s="461">
        <v>24420</v>
      </c>
      <c r="N1052" s="461">
        <v>0</v>
      </c>
      <c r="O1052" s="461">
        <v>0</v>
      </c>
      <c r="P1052" s="461">
        <v>0</v>
      </c>
      <c r="Q1052" s="461">
        <v>0</v>
      </c>
      <c r="R1052" s="461">
        <v>0</v>
      </c>
      <c r="S1052" s="461">
        <v>0</v>
      </c>
      <c r="T1052" s="461">
        <v>0</v>
      </c>
      <c r="U1052" s="461">
        <v>0</v>
      </c>
      <c r="V1052" s="461">
        <v>0</v>
      </c>
    </row>
    <row r="1053" spans="1:22" s="455" customFormat="1" hidden="1">
      <c r="A1053" s="455" t="str">
        <f t="shared" si="32"/>
        <v>15309150801000</v>
      </c>
      <c r="B1053" s="455">
        <f>VLOOKUP(LEFT($C$3:$C$2600,3),Table!$D$2:$E$88,2,FALSE)</f>
        <v>0</v>
      </c>
      <c r="C1053" s="455" t="str">
        <f t="shared" si="33"/>
        <v>9150801000</v>
      </c>
      <c r="D1053" s="455" t="e">
        <f>VLOOKUP(G1053,Table!$G$3:$H$21,2,FALSE)</f>
        <v>#N/A</v>
      </c>
      <c r="E1053" s="452" t="s">
        <v>902</v>
      </c>
      <c r="F1053" s="452" t="s">
        <v>1441</v>
      </c>
      <c r="G1053" s="452" t="s">
        <v>993</v>
      </c>
      <c r="H1053" s="452" t="s">
        <v>994</v>
      </c>
      <c r="I1053" s="453" t="s">
        <v>844</v>
      </c>
      <c r="J1053" s="453">
        <v>292596</v>
      </c>
      <c r="K1053" s="461">
        <v>97798</v>
      </c>
      <c r="L1053" s="461">
        <v>97266</v>
      </c>
      <c r="M1053" s="461">
        <v>97532</v>
      </c>
      <c r="N1053" s="461">
        <v>0</v>
      </c>
      <c r="O1053" s="461">
        <v>0</v>
      </c>
      <c r="P1053" s="461">
        <v>0</v>
      </c>
      <c r="Q1053" s="461">
        <v>0</v>
      </c>
      <c r="R1053" s="461">
        <v>0</v>
      </c>
      <c r="S1053" s="461">
        <v>0</v>
      </c>
      <c r="T1053" s="461">
        <v>0</v>
      </c>
      <c r="U1053" s="461">
        <v>0</v>
      </c>
      <c r="V1053" s="461">
        <v>0</v>
      </c>
    </row>
    <row r="1054" spans="1:22" s="455" customFormat="1" hidden="1">
      <c r="A1054" s="455" t="str">
        <f t="shared" si="32"/>
        <v>15309150801400</v>
      </c>
      <c r="B1054" s="455">
        <f>VLOOKUP(LEFT($C$3:$C$2600,3),Table!$D$2:$E$88,2,FALSE)</f>
        <v>0</v>
      </c>
      <c r="C1054" s="455" t="str">
        <f t="shared" si="33"/>
        <v>9150801400</v>
      </c>
      <c r="D1054" s="455" t="e">
        <f>VLOOKUP(G1054,Table!$G$3:$H$21,2,FALSE)</f>
        <v>#N/A</v>
      </c>
      <c r="E1054" s="452" t="s">
        <v>902</v>
      </c>
      <c r="F1054" s="452" t="s">
        <v>1441</v>
      </c>
      <c r="G1054" s="452" t="s">
        <v>997</v>
      </c>
      <c r="H1054" s="452" t="s">
        <v>998</v>
      </c>
      <c r="I1054" s="453" t="s">
        <v>844</v>
      </c>
      <c r="J1054" s="453">
        <v>37896</v>
      </c>
      <c r="K1054" s="461">
        <v>12632</v>
      </c>
      <c r="L1054" s="461">
        <v>12632</v>
      </c>
      <c r="M1054" s="461">
        <v>12632</v>
      </c>
      <c r="N1054" s="461">
        <v>0</v>
      </c>
      <c r="O1054" s="461">
        <v>0</v>
      </c>
      <c r="P1054" s="461">
        <v>0</v>
      </c>
      <c r="Q1054" s="461">
        <v>0</v>
      </c>
      <c r="R1054" s="461">
        <v>0</v>
      </c>
      <c r="S1054" s="461">
        <v>0</v>
      </c>
      <c r="T1054" s="461">
        <v>0</v>
      </c>
      <c r="U1054" s="461">
        <v>0</v>
      </c>
      <c r="V1054" s="461">
        <v>0</v>
      </c>
    </row>
    <row r="1055" spans="1:22" s="455" customFormat="1" hidden="1">
      <c r="A1055" s="455" t="str">
        <f t="shared" si="32"/>
        <v>15309150801500</v>
      </c>
      <c r="B1055" s="455">
        <f>VLOOKUP(LEFT($C$3:$C$2600,3),Table!$D$2:$E$88,2,FALSE)</f>
        <v>0</v>
      </c>
      <c r="C1055" s="455" t="str">
        <f t="shared" si="33"/>
        <v>9150801500</v>
      </c>
      <c r="D1055" s="455" t="e">
        <f>VLOOKUP(G1055,Table!$G$3:$H$21,2,FALSE)</f>
        <v>#N/A</v>
      </c>
      <c r="E1055" s="452" t="s">
        <v>902</v>
      </c>
      <c r="F1055" s="452" t="s">
        <v>1441</v>
      </c>
      <c r="G1055" s="452" t="s">
        <v>999</v>
      </c>
      <c r="H1055" s="452" t="s">
        <v>1000</v>
      </c>
      <c r="I1055" s="453" t="s">
        <v>844</v>
      </c>
      <c r="J1055" s="453">
        <v>1084.6500000000001</v>
      </c>
      <c r="K1055" s="461">
        <v>361.55</v>
      </c>
      <c r="L1055" s="461">
        <v>361.55</v>
      </c>
      <c r="M1055" s="461">
        <v>361.55</v>
      </c>
      <c r="N1055" s="461">
        <v>0</v>
      </c>
      <c r="O1055" s="461">
        <v>0</v>
      </c>
      <c r="P1055" s="461">
        <v>0</v>
      </c>
      <c r="Q1055" s="461">
        <v>0</v>
      </c>
      <c r="R1055" s="461">
        <v>0</v>
      </c>
      <c r="S1055" s="461">
        <v>0</v>
      </c>
      <c r="T1055" s="461">
        <v>0</v>
      </c>
      <c r="U1055" s="461">
        <v>0</v>
      </c>
      <c r="V1055" s="461">
        <v>0</v>
      </c>
    </row>
    <row r="1056" spans="1:22" s="455" customFormat="1" hidden="1">
      <c r="A1056" s="455" t="str">
        <f t="shared" si="32"/>
        <v>15309150801600</v>
      </c>
      <c r="B1056" s="455">
        <f>VLOOKUP(LEFT($C$3:$C$2600,3),Table!$D$2:$E$88,2,FALSE)</f>
        <v>0</v>
      </c>
      <c r="C1056" s="455" t="str">
        <f t="shared" si="33"/>
        <v>9150801600</v>
      </c>
      <c r="D1056" s="455" t="e">
        <f>VLOOKUP(G1056,Table!$G$3:$H$21,2,FALSE)</f>
        <v>#N/A</v>
      </c>
      <c r="E1056" s="452" t="s">
        <v>902</v>
      </c>
      <c r="F1056" s="452" t="s">
        <v>1441</v>
      </c>
      <c r="G1056" s="452" t="s">
        <v>1001</v>
      </c>
      <c r="H1056" s="452" t="s">
        <v>1002</v>
      </c>
      <c r="I1056" s="453" t="s">
        <v>844</v>
      </c>
      <c r="J1056" s="453">
        <v>96091</v>
      </c>
      <c r="K1056" s="461">
        <v>32089</v>
      </c>
      <c r="L1056" s="461">
        <v>32001</v>
      </c>
      <c r="M1056" s="461">
        <v>32001</v>
      </c>
      <c r="N1056" s="461">
        <v>0</v>
      </c>
      <c r="O1056" s="461">
        <v>0</v>
      </c>
      <c r="P1056" s="461">
        <v>0</v>
      </c>
      <c r="Q1056" s="461">
        <v>0</v>
      </c>
      <c r="R1056" s="461">
        <v>0</v>
      </c>
      <c r="S1056" s="461">
        <v>0</v>
      </c>
      <c r="T1056" s="461">
        <v>0</v>
      </c>
      <c r="U1056" s="461">
        <v>0</v>
      </c>
      <c r="V1056" s="461">
        <v>0</v>
      </c>
    </row>
    <row r="1057" spans="1:22" s="455" customFormat="1" hidden="1">
      <c r="A1057" s="455" t="str">
        <f t="shared" si="32"/>
        <v>15309150801800</v>
      </c>
      <c r="B1057" s="455">
        <f>VLOOKUP(LEFT($C$3:$C$2600,3),Table!$D$2:$E$88,2,FALSE)</f>
        <v>0</v>
      </c>
      <c r="C1057" s="455" t="str">
        <f t="shared" si="33"/>
        <v>9150801800</v>
      </c>
      <c r="D1057" s="455" t="e">
        <f>VLOOKUP(G1057,Table!$G$3:$H$21,2,FALSE)</f>
        <v>#N/A</v>
      </c>
      <c r="E1057" s="452" t="s">
        <v>902</v>
      </c>
      <c r="F1057" s="452" t="s">
        <v>1441</v>
      </c>
      <c r="G1057" s="452" t="s">
        <v>1004</v>
      </c>
      <c r="H1057" s="452" t="s">
        <v>1005</v>
      </c>
      <c r="I1057" s="453" t="s">
        <v>844</v>
      </c>
      <c r="J1057" s="453">
        <v>1200</v>
      </c>
      <c r="K1057" s="461">
        <v>400</v>
      </c>
      <c r="L1057" s="461">
        <v>400</v>
      </c>
      <c r="M1057" s="461">
        <v>400</v>
      </c>
      <c r="N1057" s="461">
        <v>0</v>
      </c>
      <c r="O1057" s="461">
        <v>0</v>
      </c>
      <c r="P1057" s="461">
        <v>0</v>
      </c>
      <c r="Q1057" s="461">
        <v>0</v>
      </c>
      <c r="R1057" s="461">
        <v>0</v>
      </c>
      <c r="S1057" s="461">
        <v>0</v>
      </c>
      <c r="T1057" s="461">
        <v>0</v>
      </c>
      <c r="U1057" s="461">
        <v>0</v>
      </c>
      <c r="V1057" s="461">
        <v>0</v>
      </c>
    </row>
    <row r="1058" spans="1:22" s="455" customFormat="1" hidden="1">
      <c r="A1058" s="455" t="str">
        <f t="shared" si="32"/>
        <v>15309150801900</v>
      </c>
      <c r="B1058" s="455">
        <f>VLOOKUP(LEFT($C$3:$C$2600,3),Table!$D$2:$E$88,2,FALSE)</f>
        <v>0</v>
      </c>
      <c r="C1058" s="455" t="str">
        <f t="shared" si="33"/>
        <v>9150801900</v>
      </c>
      <c r="D1058" s="455" t="e">
        <f>VLOOKUP(G1058,Table!$G$3:$H$21,2,FALSE)</f>
        <v>#N/A</v>
      </c>
      <c r="E1058" s="452" t="s">
        <v>902</v>
      </c>
      <c r="F1058" s="452" t="s">
        <v>1441</v>
      </c>
      <c r="G1058" s="452" t="s">
        <v>1006</v>
      </c>
      <c r="H1058" s="452" t="s">
        <v>1007</v>
      </c>
      <c r="I1058" s="453" t="s">
        <v>844</v>
      </c>
      <c r="J1058" s="453">
        <v>2526</v>
      </c>
      <c r="K1058" s="461">
        <v>842</v>
      </c>
      <c r="L1058" s="461">
        <v>842</v>
      </c>
      <c r="M1058" s="461">
        <v>842</v>
      </c>
      <c r="N1058" s="461">
        <v>0</v>
      </c>
      <c r="O1058" s="461">
        <v>0</v>
      </c>
      <c r="P1058" s="461">
        <v>0</v>
      </c>
      <c r="Q1058" s="461">
        <v>0</v>
      </c>
      <c r="R1058" s="461">
        <v>0</v>
      </c>
      <c r="S1058" s="461">
        <v>0</v>
      </c>
      <c r="T1058" s="461">
        <v>0</v>
      </c>
      <c r="U1058" s="461">
        <v>0</v>
      </c>
      <c r="V1058" s="461">
        <v>0</v>
      </c>
    </row>
    <row r="1059" spans="1:22" s="455" customFormat="1" hidden="1">
      <c r="A1059" s="455" t="str">
        <f t="shared" si="32"/>
        <v>15309151302500</v>
      </c>
      <c r="B1059" s="455">
        <f>VLOOKUP(LEFT($C$3:$C$2600,3),Table!$D$2:$E$88,2,FALSE)</f>
        <v>0</v>
      </c>
      <c r="C1059" s="455" t="str">
        <f t="shared" si="33"/>
        <v>9151302500</v>
      </c>
      <c r="D1059" s="455" t="e">
        <f>VLOOKUP(G1059,Table!$G$3:$H$21,2,FALSE)</f>
        <v>#N/A</v>
      </c>
      <c r="E1059" s="452" t="s">
        <v>902</v>
      </c>
      <c r="F1059" s="452" t="s">
        <v>1441</v>
      </c>
      <c r="G1059" s="452" t="s">
        <v>1154</v>
      </c>
      <c r="H1059" s="452" t="s">
        <v>1155</v>
      </c>
      <c r="I1059" s="453" t="s">
        <v>844</v>
      </c>
      <c r="J1059" s="453">
        <v>129.6</v>
      </c>
      <c r="K1059" s="461">
        <v>45</v>
      </c>
      <c r="L1059" s="461">
        <v>12780</v>
      </c>
      <c r="M1059" s="461">
        <v>7714.6</v>
      </c>
      <c r="N1059" s="461">
        <v>0</v>
      </c>
      <c r="O1059" s="461">
        <v>0</v>
      </c>
      <c r="P1059" s="461">
        <v>0</v>
      </c>
      <c r="Q1059" s="461">
        <v>0</v>
      </c>
      <c r="R1059" s="461">
        <v>0</v>
      </c>
      <c r="S1059" s="461">
        <v>0</v>
      </c>
      <c r="T1059" s="461">
        <v>0</v>
      </c>
      <c r="U1059" s="461">
        <v>0</v>
      </c>
      <c r="V1059" s="461">
        <v>0</v>
      </c>
    </row>
    <row r="1060" spans="1:22" s="455" customFormat="1" hidden="1">
      <c r="A1060" s="455" t="str">
        <f t="shared" si="32"/>
        <v>15309151501350</v>
      </c>
      <c r="B1060" s="455">
        <f>VLOOKUP(LEFT($C$3:$C$2600,3),Table!$D$2:$E$88,2,FALSE)</f>
        <v>0</v>
      </c>
      <c r="C1060" s="455" t="str">
        <f t="shared" si="33"/>
        <v>9151501350</v>
      </c>
      <c r="D1060" s="455" t="e">
        <f>VLOOKUP(G1060,Table!$G$3:$H$21,2,FALSE)</f>
        <v>#N/A</v>
      </c>
      <c r="E1060" s="452" t="s">
        <v>902</v>
      </c>
      <c r="F1060" s="452" t="s">
        <v>1441</v>
      </c>
      <c r="G1060" s="452" t="s">
        <v>1442</v>
      </c>
      <c r="H1060" s="452" t="s">
        <v>1443</v>
      </c>
      <c r="I1060" s="453" t="s">
        <v>844</v>
      </c>
      <c r="J1060" s="453">
        <v>604.69000000000005</v>
      </c>
      <c r="K1060" s="461">
        <v>604.69000000000005</v>
      </c>
      <c r="L1060" s="461">
        <v>477.98</v>
      </c>
      <c r="M1060" s="461">
        <v>349.12</v>
      </c>
      <c r="N1060" s="461">
        <v>0</v>
      </c>
      <c r="O1060" s="461">
        <v>0</v>
      </c>
      <c r="P1060" s="461">
        <v>0</v>
      </c>
      <c r="Q1060" s="461">
        <v>0</v>
      </c>
      <c r="R1060" s="461">
        <v>0</v>
      </c>
      <c r="S1060" s="461">
        <v>0</v>
      </c>
      <c r="T1060" s="461">
        <v>0</v>
      </c>
      <c r="U1060" s="461">
        <v>0</v>
      </c>
      <c r="V1060" s="461">
        <v>0</v>
      </c>
    </row>
    <row r="1061" spans="1:22" s="455" customFormat="1" hidden="1">
      <c r="A1061" s="455" t="str">
        <f t="shared" si="32"/>
        <v>15309151501400</v>
      </c>
      <c r="B1061" s="455">
        <f>VLOOKUP(LEFT($C$3:$C$2600,3),Table!$D$2:$E$88,2,FALSE)</f>
        <v>0</v>
      </c>
      <c r="C1061" s="455" t="str">
        <f t="shared" si="33"/>
        <v>9151501400</v>
      </c>
      <c r="D1061" s="455" t="e">
        <f>VLOOKUP(G1061,Table!$G$3:$H$21,2,FALSE)</f>
        <v>#N/A</v>
      </c>
      <c r="E1061" s="452" t="s">
        <v>902</v>
      </c>
      <c r="F1061" s="452" t="s">
        <v>1441</v>
      </c>
      <c r="G1061" s="452" t="s">
        <v>1011</v>
      </c>
      <c r="H1061" s="452" t="s">
        <v>1012</v>
      </c>
      <c r="I1061" s="453" t="s">
        <v>844</v>
      </c>
      <c r="J1061" s="453">
        <v>600</v>
      </c>
      <c r="K1061" s="461">
        <v>400</v>
      </c>
      <c r="L1061" s="461">
        <v>200</v>
      </c>
      <c r="M1061" s="461">
        <v>399</v>
      </c>
      <c r="N1061" s="461">
        <v>0</v>
      </c>
      <c r="O1061" s="461">
        <v>0</v>
      </c>
      <c r="P1061" s="461">
        <v>0</v>
      </c>
      <c r="Q1061" s="461">
        <v>0</v>
      </c>
      <c r="R1061" s="461">
        <v>0</v>
      </c>
      <c r="S1061" s="461">
        <v>0</v>
      </c>
      <c r="T1061" s="461">
        <v>0</v>
      </c>
      <c r="U1061" s="461">
        <v>0</v>
      </c>
      <c r="V1061" s="461">
        <v>0</v>
      </c>
    </row>
    <row r="1062" spans="1:22" s="455" customFormat="1" hidden="1">
      <c r="A1062" s="455" t="str">
        <f t="shared" si="32"/>
        <v>15309151502000</v>
      </c>
      <c r="B1062" s="455">
        <f>VLOOKUP(LEFT($C$3:$C$2600,3),Table!$D$2:$E$88,2,FALSE)</f>
        <v>0</v>
      </c>
      <c r="C1062" s="455" t="str">
        <f t="shared" si="33"/>
        <v>9151502000</v>
      </c>
      <c r="D1062" s="455" t="e">
        <f>VLOOKUP(G1062,Table!$G$3:$H$21,2,FALSE)</f>
        <v>#N/A</v>
      </c>
      <c r="E1062" s="452" t="s">
        <v>902</v>
      </c>
      <c r="F1062" s="452" t="s">
        <v>1441</v>
      </c>
      <c r="G1062" s="452" t="s">
        <v>1206</v>
      </c>
      <c r="H1062" s="452" t="s">
        <v>1207</v>
      </c>
      <c r="I1062" s="453" t="s">
        <v>844</v>
      </c>
      <c r="J1062" s="453">
        <v>2973</v>
      </c>
      <c r="K1062" s="461">
        <v>0</v>
      </c>
      <c r="L1062" s="461">
        <v>2973</v>
      </c>
      <c r="M1062" s="461">
        <v>15991.18</v>
      </c>
      <c r="N1062" s="461">
        <v>0</v>
      </c>
      <c r="O1062" s="461">
        <v>0</v>
      </c>
      <c r="P1062" s="461">
        <v>0</v>
      </c>
      <c r="Q1062" s="461">
        <v>0</v>
      </c>
      <c r="R1062" s="461">
        <v>0</v>
      </c>
      <c r="S1062" s="461">
        <v>0</v>
      </c>
      <c r="T1062" s="461">
        <v>0</v>
      </c>
      <c r="U1062" s="461">
        <v>0</v>
      </c>
      <c r="V1062" s="461">
        <v>0</v>
      </c>
    </row>
    <row r="1063" spans="1:22" s="455" customFormat="1" hidden="1">
      <c r="A1063" s="455" t="str">
        <f t="shared" si="32"/>
        <v>15309151502200</v>
      </c>
      <c r="B1063" s="455">
        <f>VLOOKUP(LEFT($C$3:$C$2600,3),Table!$D$2:$E$88,2,FALSE)</f>
        <v>0</v>
      </c>
      <c r="C1063" s="455" t="str">
        <f t="shared" si="33"/>
        <v>9151502200</v>
      </c>
      <c r="D1063" s="455" t="e">
        <f>VLOOKUP(G1063,Table!$G$3:$H$21,2,FALSE)</f>
        <v>#N/A</v>
      </c>
      <c r="E1063" s="452" t="s">
        <v>902</v>
      </c>
      <c r="F1063" s="452" t="s">
        <v>1441</v>
      </c>
      <c r="G1063" s="452" t="s">
        <v>1208</v>
      </c>
      <c r="H1063" s="452" t="s">
        <v>1209</v>
      </c>
      <c r="I1063" s="453" t="s">
        <v>844</v>
      </c>
      <c r="J1063" s="453">
        <v>50.25</v>
      </c>
      <c r="K1063" s="461">
        <v>50.25</v>
      </c>
      <c r="L1063" s="461">
        <v>0</v>
      </c>
      <c r="M1063" s="461">
        <v>518.24</v>
      </c>
      <c r="N1063" s="461">
        <v>0</v>
      </c>
      <c r="O1063" s="461">
        <v>0</v>
      </c>
      <c r="P1063" s="461">
        <v>0</v>
      </c>
      <c r="Q1063" s="461">
        <v>0</v>
      </c>
      <c r="R1063" s="461">
        <v>0</v>
      </c>
      <c r="S1063" s="461">
        <v>0</v>
      </c>
      <c r="T1063" s="461">
        <v>0</v>
      </c>
      <c r="U1063" s="461">
        <v>0</v>
      </c>
      <c r="V1063" s="461">
        <v>0</v>
      </c>
    </row>
    <row r="1064" spans="1:22" s="455" customFormat="1" hidden="1">
      <c r="A1064" s="455" t="str">
        <f t="shared" si="32"/>
        <v>15309151601000</v>
      </c>
      <c r="B1064" s="455">
        <f>VLOOKUP(LEFT($C$3:$C$2600,3),Table!$D$2:$E$88,2,FALSE)</f>
        <v>0</v>
      </c>
      <c r="C1064" s="455" t="str">
        <f t="shared" si="33"/>
        <v>9151601000</v>
      </c>
      <c r="D1064" s="455" t="e">
        <f>VLOOKUP(G1064,Table!$G$3:$H$21,2,FALSE)</f>
        <v>#N/A</v>
      </c>
      <c r="E1064" s="452" t="s">
        <v>902</v>
      </c>
      <c r="F1064" s="452" t="s">
        <v>1441</v>
      </c>
      <c r="G1064" s="452" t="s">
        <v>1013</v>
      </c>
      <c r="H1064" s="452" t="s">
        <v>1215</v>
      </c>
      <c r="I1064" s="453" t="s">
        <v>844</v>
      </c>
      <c r="J1064" s="453">
        <v>2194.42</v>
      </c>
      <c r="K1064" s="461">
        <v>0</v>
      </c>
      <c r="L1064" s="461">
        <v>2194.42</v>
      </c>
      <c r="M1064" s="461">
        <v>536.35</v>
      </c>
      <c r="N1064" s="461">
        <v>0</v>
      </c>
      <c r="O1064" s="461">
        <v>0</v>
      </c>
      <c r="P1064" s="461">
        <v>0</v>
      </c>
      <c r="Q1064" s="461">
        <v>0</v>
      </c>
      <c r="R1064" s="461">
        <v>0</v>
      </c>
      <c r="S1064" s="461">
        <v>0</v>
      </c>
      <c r="T1064" s="461">
        <v>0</v>
      </c>
      <c r="U1064" s="461">
        <v>0</v>
      </c>
      <c r="V1064" s="461">
        <v>0</v>
      </c>
    </row>
    <row r="1065" spans="1:22" s="455" customFormat="1" hidden="1">
      <c r="A1065" s="455" t="str">
        <f t="shared" si="32"/>
        <v>15309151601001</v>
      </c>
      <c r="B1065" s="455">
        <f>VLOOKUP(LEFT($C$3:$C$2600,3),Table!$D$2:$E$88,2,FALSE)</f>
        <v>0</v>
      </c>
      <c r="C1065" s="455" t="str">
        <f t="shared" si="33"/>
        <v>9151601001</v>
      </c>
      <c r="D1065" s="455" t="e">
        <f>VLOOKUP(G1065,Table!$G$3:$H$21,2,FALSE)</f>
        <v>#N/A</v>
      </c>
      <c r="E1065" s="452" t="s">
        <v>902</v>
      </c>
      <c r="F1065" s="452" t="s">
        <v>1441</v>
      </c>
      <c r="G1065" s="452" t="s">
        <v>1015</v>
      </c>
      <c r="H1065" s="452" t="s">
        <v>1016</v>
      </c>
      <c r="I1065" s="453" t="s">
        <v>844</v>
      </c>
      <c r="J1065" s="453">
        <v>750.4</v>
      </c>
      <c r="K1065" s="461">
        <v>750.4</v>
      </c>
      <c r="L1065" s="461">
        <v>0</v>
      </c>
      <c r="M1065" s="461">
        <v>0</v>
      </c>
      <c r="N1065" s="461">
        <v>0</v>
      </c>
      <c r="O1065" s="461">
        <v>0</v>
      </c>
      <c r="P1065" s="461">
        <v>0</v>
      </c>
      <c r="Q1065" s="461">
        <v>0</v>
      </c>
      <c r="R1065" s="461">
        <v>0</v>
      </c>
      <c r="S1065" s="461">
        <v>0</v>
      </c>
      <c r="T1065" s="461">
        <v>0</v>
      </c>
      <c r="U1065" s="461">
        <v>0</v>
      </c>
      <c r="V1065" s="461">
        <v>0</v>
      </c>
    </row>
    <row r="1066" spans="1:22" s="455" customFormat="1" hidden="1">
      <c r="A1066" s="455" t="str">
        <f t="shared" si="32"/>
        <v>15309151602100</v>
      </c>
      <c r="B1066" s="455">
        <f>VLOOKUP(LEFT($C$3:$C$2600,3),Table!$D$2:$E$88,2,FALSE)</f>
        <v>0</v>
      </c>
      <c r="C1066" s="455" t="str">
        <f t="shared" si="33"/>
        <v>9151602100</v>
      </c>
      <c r="D1066" s="455" t="e">
        <f>VLOOKUP(G1066,Table!$G$3:$H$21,2,FALSE)</f>
        <v>#N/A</v>
      </c>
      <c r="E1066" s="452" t="s">
        <v>902</v>
      </c>
      <c r="F1066" s="452" t="s">
        <v>1441</v>
      </c>
      <c r="G1066" s="452" t="s">
        <v>1210</v>
      </c>
      <c r="H1066" s="452" t="s">
        <v>1211</v>
      </c>
      <c r="I1066" s="453" t="s">
        <v>844</v>
      </c>
      <c r="J1066" s="453">
        <v>603.08000000000004</v>
      </c>
      <c r="K1066" s="461">
        <v>603.08000000000004</v>
      </c>
      <c r="L1066" s="461">
        <v>0</v>
      </c>
      <c r="M1066" s="461">
        <v>0</v>
      </c>
      <c r="N1066" s="461">
        <v>0</v>
      </c>
      <c r="O1066" s="461">
        <v>0</v>
      </c>
      <c r="P1066" s="461">
        <v>0</v>
      </c>
      <c r="Q1066" s="461">
        <v>0</v>
      </c>
      <c r="R1066" s="461">
        <v>0</v>
      </c>
      <c r="S1066" s="461">
        <v>0</v>
      </c>
      <c r="T1066" s="461">
        <v>0</v>
      </c>
      <c r="U1066" s="461">
        <v>0</v>
      </c>
      <c r="V1066" s="461">
        <v>0</v>
      </c>
    </row>
    <row r="1067" spans="1:22" s="455" customFormat="1" hidden="1">
      <c r="A1067" s="455" t="str">
        <f t="shared" si="32"/>
        <v>15309151701000</v>
      </c>
      <c r="B1067" s="455">
        <f>VLOOKUP(LEFT($C$3:$C$2600,3),Table!$D$2:$E$88,2,FALSE)</f>
        <v>0</v>
      </c>
      <c r="C1067" s="455" t="str">
        <f t="shared" si="33"/>
        <v>9151701000</v>
      </c>
      <c r="D1067" s="455" t="e">
        <f>VLOOKUP(G1067,Table!$G$3:$H$21,2,FALSE)</f>
        <v>#N/A</v>
      </c>
      <c r="E1067" s="452" t="s">
        <v>902</v>
      </c>
      <c r="F1067" s="452" t="s">
        <v>1441</v>
      </c>
      <c r="G1067" s="452" t="s">
        <v>1330</v>
      </c>
      <c r="H1067" s="452" t="s">
        <v>1331</v>
      </c>
      <c r="I1067" s="453" t="s">
        <v>844</v>
      </c>
      <c r="J1067" s="453">
        <v>845.51</v>
      </c>
      <c r="K1067" s="461">
        <v>864.51</v>
      </c>
      <c r="L1067" s="461">
        <v>-71.2</v>
      </c>
      <c r="M1067" s="461">
        <v>386.95</v>
      </c>
      <c r="N1067" s="461">
        <v>0</v>
      </c>
      <c r="O1067" s="461">
        <v>0</v>
      </c>
      <c r="P1067" s="461">
        <v>0</v>
      </c>
      <c r="Q1067" s="461">
        <v>0</v>
      </c>
      <c r="R1067" s="461">
        <v>0</v>
      </c>
      <c r="S1067" s="461">
        <v>0</v>
      </c>
      <c r="T1067" s="461">
        <v>0</v>
      </c>
      <c r="U1067" s="461">
        <v>0</v>
      </c>
      <c r="V1067" s="461">
        <v>0</v>
      </c>
    </row>
    <row r="1068" spans="1:22" s="455" customFormat="1" hidden="1">
      <c r="A1068" s="455" t="str">
        <f t="shared" si="32"/>
        <v>15309151701010</v>
      </c>
      <c r="B1068" s="455">
        <f>VLOOKUP(LEFT($C$3:$C$2600,3),Table!$D$2:$E$88,2,FALSE)</f>
        <v>0</v>
      </c>
      <c r="C1068" s="455" t="str">
        <f t="shared" si="33"/>
        <v>9151701010</v>
      </c>
      <c r="D1068" s="455" t="e">
        <f>VLOOKUP(G1068,Table!$G$3:$H$21,2,FALSE)</f>
        <v>#N/A</v>
      </c>
      <c r="E1068" s="452" t="s">
        <v>902</v>
      </c>
      <c r="F1068" s="452" t="s">
        <v>1441</v>
      </c>
      <c r="G1068" s="452" t="s">
        <v>1315</v>
      </c>
      <c r="H1068" s="452" t="s">
        <v>1316</v>
      </c>
      <c r="I1068" s="453" t="s">
        <v>844</v>
      </c>
      <c r="J1068" s="453">
        <v>2252.7199999999998</v>
      </c>
      <c r="K1068" s="461">
        <v>531.70000000000005</v>
      </c>
      <c r="L1068" s="461">
        <v>1721.02</v>
      </c>
      <c r="M1068" s="461">
        <v>837.25</v>
      </c>
      <c r="N1068" s="461">
        <v>0</v>
      </c>
      <c r="O1068" s="461">
        <v>0</v>
      </c>
      <c r="P1068" s="461">
        <v>0</v>
      </c>
      <c r="Q1068" s="461">
        <v>0</v>
      </c>
      <c r="R1068" s="461">
        <v>0</v>
      </c>
      <c r="S1068" s="461">
        <v>0</v>
      </c>
      <c r="T1068" s="461">
        <v>0</v>
      </c>
      <c r="U1068" s="461">
        <v>0</v>
      </c>
      <c r="V1068" s="461">
        <v>0</v>
      </c>
    </row>
    <row r="1069" spans="1:22" s="455" customFormat="1" hidden="1">
      <c r="A1069" s="455" t="str">
        <f t="shared" si="32"/>
        <v>15309151801100</v>
      </c>
      <c r="B1069" s="455">
        <f>VLOOKUP(LEFT($C$3:$C$2600,3),Table!$D$2:$E$88,2,FALSE)</f>
        <v>0</v>
      </c>
      <c r="C1069" s="455" t="str">
        <f t="shared" si="33"/>
        <v>9151801100</v>
      </c>
      <c r="D1069" s="455" t="e">
        <f>VLOOKUP(G1069,Table!$G$3:$H$21,2,FALSE)</f>
        <v>#N/A</v>
      </c>
      <c r="E1069" s="452" t="s">
        <v>902</v>
      </c>
      <c r="F1069" s="452" t="s">
        <v>1441</v>
      </c>
      <c r="G1069" s="452" t="s">
        <v>1017</v>
      </c>
      <c r="H1069" s="452" t="s">
        <v>1018</v>
      </c>
      <c r="I1069" s="453" t="s">
        <v>844</v>
      </c>
      <c r="J1069" s="453">
        <v>34</v>
      </c>
      <c r="K1069" s="461">
        <v>0</v>
      </c>
      <c r="L1069" s="461">
        <v>0</v>
      </c>
      <c r="M1069" s="461">
        <v>34</v>
      </c>
      <c r="N1069" s="461">
        <v>0</v>
      </c>
      <c r="O1069" s="461">
        <v>0</v>
      </c>
      <c r="P1069" s="461">
        <v>0</v>
      </c>
      <c r="Q1069" s="461">
        <v>0</v>
      </c>
      <c r="R1069" s="461">
        <v>0</v>
      </c>
      <c r="S1069" s="461">
        <v>0</v>
      </c>
      <c r="T1069" s="461">
        <v>0</v>
      </c>
      <c r="U1069" s="461">
        <v>0</v>
      </c>
      <c r="V1069" s="461">
        <v>0</v>
      </c>
    </row>
    <row r="1070" spans="1:22" s="455" customFormat="1" hidden="1">
      <c r="A1070" s="455" t="str">
        <f t="shared" si="32"/>
        <v>15309151801300</v>
      </c>
      <c r="B1070" s="455">
        <f>VLOOKUP(LEFT($C$3:$C$2600,3),Table!$D$2:$E$88,2,FALSE)</f>
        <v>0</v>
      </c>
      <c r="C1070" s="455" t="str">
        <f t="shared" si="33"/>
        <v>9151801300</v>
      </c>
      <c r="D1070" s="455" t="e">
        <f>VLOOKUP(G1070,Table!$G$3:$H$21,2,FALSE)</f>
        <v>#N/A</v>
      </c>
      <c r="E1070" s="452" t="s">
        <v>902</v>
      </c>
      <c r="F1070" s="452" t="s">
        <v>1441</v>
      </c>
      <c r="G1070" s="452" t="s">
        <v>1166</v>
      </c>
      <c r="H1070" s="452" t="s">
        <v>1167</v>
      </c>
      <c r="I1070" s="453" t="s">
        <v>844</v>
      </c>
      <c r="J1070" s="453">
        <v>25</v>
      </c>
      <c r="K1070" s="461">
        <v>25</v>
      </c>
      <c r="L1070" s="461">
        <v>0</v>
      </c>
      <c r="M1070" s="461">
        <v>0</v>
      </c>
      <c r="N1070" s="461">
        <v>0</v>
      </c>
      <c r="O1070" s="461">
        <v>0</v>
      </c>
      <c r="P1070" s="461">
        <v>0</v>
      </c>
      <c r="Q1070" s="461">
        <v>0</v>
      </c>
      <c r="R1070" s="461">
        <v>0</v>
      </c>
      <c r="S1070" s="461">
        <v>0</v>
      </c>
      <c r="T1070" s="461">
        <v>0</v>
      </c>
      <c r="U1070" s="461">
        <v>0</v>
      </c>
      <c r="V1070" s="461">
        <v>0</v>
      </c>
    </row>
    <row r="1071" spans="1:22" s="455" customFormat="1" hidden="1">
      <c r="A1071" s="455" t="str">
        <f t="shared" si="32"/>
        <v>15309152402200</v>
      </c>
      <c r="B1071" s="455">
        <f>VLOOKUP(LEFT($C$3:$C$2600,3),Table!$D$2:$E$88,2,FALSE)</f>
        <v>0</v>
      </c>
      <c r="C1071" s="455" t="str">
        <f t="shared" si="33"/>
        <v>9152402200</v>
      </c>
      <c r="D1071" s="455" t="e">
        <f>VLOOKUP(G1071,Table!$G$3:$H$21,2,FALSE)</f>
        <v>#N/A</v>
      </c>
      <c r="E1071" s="452" t="s">
        <v>902</v>
      </c>
      <c r="F1071" s="452" t="s">
        <v>1441</v>
      </c>
      <c r="G1071" s="452" t="s">
        <v>1444</v>
      </c>
      <c r="H1071" s="452" t="s">
        <v>1445</v>
      </c>
      <c r="I1071" s="453" t="s">
        <v>844</v>
      </c>
      <c r="J1071" s="453">
        <v>2712</v>
      </c>
      <c r="K1071" s="461">
        <v>0</v>
      </c>
      <c r="L1071" s="461">
        <v>0</v>
      </c>
      <c r="M1071" s="461">
        <v>2712</v>
      </c>
      <c r="N1071" s="461">
        <v>0</v>
      </c>
      <c r="O1071" s="461">
        <v>0</v>
      </c>
      <c r="P1071" s="461">
        <v>0</v>
      </c>
      <c r="Q1071" s="461">
        <v>0</v>
      </c>
      <c r="R1071" s="461">
        <v>0</v>
      </c>
      <c r="S1071" s="461">
        <v>0</v>
      </c>
      <c r="T1071" s="461">
        <v>0</v>
      </c>
      <c r="U1071" s="461">
        <v>0</v>
      </c>
      <c r="V1071" s="461">
        <v>0</v>
      </c>
    </row>
    <row r="1072" spans="1:22" s="455" customFormat="1" hidden="1">
      <c r="A1072" s="455" t="str">
        <f t="shared" si="32"/>
        <v>15309152600000</v>
      </c>
      <c r="B1072" s="455">
        <f>VLOOKUP(LEFT($C$3:$C$2600,3),Table!$D$2:$E$88,2,FALSE)</f>
        <v>0</v>
      </c>
      <c r="C1072" s="455" t="str">
        <f t="shared" si="33"/>
        <v>9152600000</v>
      </c>
      <c r="D1072" s="455" t="e">
        <f>VLOOKUP(G1072,Table!$G$3:$H$21,2,FALSE)</f>
        <v>#N/A</v>
      </c>
      <c r="E1072" s="452" t="s">
        <v>902</v>
      </c>
      <c r="F1072" s="452" t="s">
        <v>1441</v>
      </c>
      <c r="G1072" s="452" t="s">
        <v>1446</v>
      </c>
      <c r="H1072" s="452" t="s">
        <v>1447</v>
      </c>
      <c r="I1072" s="453" t="s">
        <v>844</v>
      </c>
      <c r="J1072" s="453">
        <v>73540.89</v>
      </c>
      <c r="K1072" s="461">
        <v>24510.89</v>
      </c>
      <c r="L1072" s="461">
        <v>24515</v>
      </c>
      <c r="M1072" s="461">
        <v>24515</v>
      </c>
      <c r="N1072" s="461">
        <v>0</v>
      </c>
      <c r="O1072" s="461">
        <v>0</v>
      </c>
      <c r="P1072" s="461">
        <v>0</v>
      </c>
      <c r="Q1072" s="461">
        <v>0</v>
      </c>
      <c r="R1072" s="461">
        <v>0</v>
      </c>
      <c r="S1072" s="461">
        <v>0</v>
      </c>
      <c r="T1072" s="461">
        <v>0</v>
      </c>
      <c r="U1072" s="461">
        <v>0</v>
      </c>
      <c r="V1072" s="461">
        <v>0</v>
      </c>
    </row>
    <row r="1073" spans="1:22" s="455" customFormat="1" hidden="1">
      <c r="A1073" s="455" t="str">
        <f t="shared" si="32"/>
        <v>15309152701050</v>
      </c>
      <c r="B1073" s="455">
        <f>VLOOKUP(LEFT($C$3:$C$2600,3),Table!$D$2:$E$88,2,FALSE)</f>
        <v>0</v>
      </c>
      <c r="C1073" s="455" t="str">
        <f t="shared" si="33"/>
        <v>9152701050</v>
      </c>
      <c r="D1073" s="455" t="e">
        <f>VLOOKUP(G1073,Table!$G$3:$H$21,2,FALSE)</f>
        <v>#N/A</v>
      </c>
      <c r="E1073" s="452" t="s">
        <v>902</v>
      </c>
      <c r="F1073" s="452" t="s">
        <v>1441</v>
      </c>
      <c r="G1073" s="452" t="s">
        <v>1448</v>
      </c>
      <c r="H1073" s="452" t="s">
        <v>1449</v>
      </c>
      <c r="I1073" s="453" t="s">
        <v>844</v>
      </c>
      <c r="J1073" s="453">
        <v>1854.3</v>
      </c>
      <c r="K1073" s="461">
        <v>0</v>
      </c>
      <c r="L1073" s="461">
        <v>1998.52</v>
      </c>
      <c r="M1073" s="461">
        <v>0</v>
      </c>
      <c r="N1073" s="461">
        <v>0</v>
      </c>
      <c r="O1073" s="461">
        <v>0</v>
      </c>
      <c r="P1073" s="461">
        <v>0</v>
      </c>
      <c r="Q1073" s="461">
        <v>0</v>
      </c>
      <c r="R1073" s="461">
        <v>0</v>
      </c>
      <c r="S1073" s="461">
        <v>0</v>
      </c>
      <c r="T1073" s="461">
        <v>0</v>
      </c>
      <c r="U1073" s="461">
        <v>0</v>
      </c>
      <c r="V1073" s="461">
        <v>0</v>
      </c>
    </row>
    <row r="1074" spans="1:22" s="455" customFormat="1" hidden="1">
      <c r="A1074" s="455" t="str">
        <f t="shared" si="32"/>
        <v>15309152701150</v>
      </c>
      <c r="B1074" s="455">
        <f>VLOOKUP(LEFT($C$3:$C$2600,3),Table!$D$2:$E$88,2,FALSE)</f>
        <v>0</v>
      </c>
      <c r="C1074" s="455" t="str">
        <f t="shared" si="33"/>
        <v>9152701150</v>
      </c>
      <c r="D1074" s="455" t="e">
        <f>VLOOKUP(G1074,Table!$G$3:$H$21,2,FALSE)</f>
        <v>#N/A</v>
      </c>
      <c r="E1074" s="452" t="s">
        <v>902</v>
      </c>
      <c r="F1074" s="452" t="s">
        <v>1441</v>
      </c>
      <c r="G1074" s="452" t="s">
        <v>1450</v>
      </c>
      <c r="H1074" s="452" t="s">
        <v>1451</v>
      </c>
      <c r="I1074" s="453" t="s">
        <v>844</v>
      </c>
      <c r="J1074" s="453">
        <v>353.15</v>
      </c>
      <c r="K1074" s="461">
        <v>115.15</v>
      </c>
      <c r="L1074" s="461">
        <v>119</v>
      </c>
      <c r="M1074" s="461">
        <v>119</v>
      </c>
      <c r="N1074" s="461">
        <v>0</v>
      </c>
      <c r="O1074" s="461">
        <v>0</v>
      </c>
      <c r="P1074" s="461">
        <v>0</v>
      </c>
      <c r="Q1074" s="461">
        <v>0</v>
      </c>
      <c r="R1074" s="461">
        <v>0</v>
      </c>
      <c r="S1074" s="461">
        <v>0</v>
      </c>
      <c r="T1074" s="461">
        <v>0</v>
      </c>
      <c r="U1074" s="461">
        <v>0</v>
      </c>
      <c r="V1074" s="461">
        <v>0</v>
      </c>
    </row>
    <row r="1075" spans="1:22" s="455" customFormat="1" hidden="1">
      <c r="A1075" s="455" t="str">
        <f t="shared" si="32"/>
        <v>15309153001000</v>
      </c>
      <c r="B1075" s="455">
        <f>VLOOKUP(LEFT($C$3:$C$2600,3),Table!$D$2:$E$88,2,FALSE)</f>
        <v>0</v>
      </c>
      <c r="C1075" s="455" t="str">
        <f t="shared" si="33"/>
        <v>9153001000</v>
      </c>
      <c r="D1075" s="455" t="e">
        <f>VLOOKUP(G1075,Table!$G$3:$H$21,2,FALSE)</f>
        <v>#N/A</v>
      </c>
      <c r="E1075" s="452" t="s">
        <v>902</v>
      </c>
      <c r="F1075" s="452" t="s">
        <v>1441</v>
      </c>
      <c r="G1075" s="452" t="s">
        <v>1043</v>
      </c>
      <c r="H1075" s="452" t="s">
        <v>1044</v>
      </c>
      <c r="I1075" s="453" t="s">
        <v>844</v>
      </c>
      <c r="J1075" s="453">
        <v>4332</v>
      </c>
      <c r="K1075" s="461">
        <v>1444</v>
      </c>
      <c r="L1075" s="461">
        <v>1444</v>
      </c>
      <c r="M1075" s="461">
        <v>1444</v>
      </c>
      <c r="N1075" s="461">
        <v>0</v>
      </c>
      <c r="O1075" s="461">
        <v>0</v>
      </c>
      <c r="P1075" s="461">
        <v>0</v>
      </c>
      <c r="Q1075" s="461">
        <v>0</v>
      </c>
      <c r="R1075" s="461">
        <v>0</v>
      </c>
      <c r="S1075" s="461">
        <v>0</v>
      </c>
      <c r="T1075" s="461">
        <v>0</v>
      </c>
      <c r="U1075" s="461">
        <v>0</v>
      </c>
      <c r="V1075" s="461">
        <v>0</v>
      </c>
    </row>
    <row r="1076" spans="1:22" s="455" customFormat="1" hidden="1">
      <c r="A1076" s="455" t="str">
        <f t="shared" si="32"/>
        <v>15309153201000</v>
      </c>
      <c r="B1076" s="455">
        <f>VLOOKUP(LEFT($C$3:$C$2600,3),Table!$D$2:$E$88,2,FALSE)</f>
        <v>0</v>
      </c>
      <c r="C1076" s="455" t="str">
        <f t="shared" si="33"/>
        <v>9153201000</v>
      </c>
      <c r="D1076" s="455" t="e">
        <f>VLOOKUP(G1076,Table!$G$3:$H$21,2,FALSE)</f>
        <v>#N/A</v>
      </c>
      <c r="E1076" s="452" t="s">
        <v>902</v>
      </c>
      <c r="F1076" s="452" t="s">
        <v>1441</v>
      </c>
      <c r="G1076" s="452" t="s">
        <v>1452</v>
      </c>
      <c r="H1076" s="452" t="s">
        <v>1453</v>
      </c>
      <c r="I1076" s="453" t="s">
        <v>844</v>
      </c>
      <c r="J1076" s="453">
        <v>131958.85999999999</v>
      </c>
      <c r="K1076" s="461">
        <v>59919.79</v>
      </c>
      <c r="L1076" s="461">
        <v>64664.44</v>
      </c>
      <c r="M1076" s="461">
        <v>13870.06</v>
      </c>
      <c r="N1076" s="461">
        <v>0</v>
      </c>
      <c r="O1076" s="461">
        <v>0</v>
      </c>
      <c r="P1076" s="461">
        <v>0</v>
      </c>
      <c r="Q1076" s="461">
        <v>0</v>
      </c>
      <c r="R1076" s="461">
        <v>0</v>
      </c>
      <c r="S1076" s="461">
        <v>0</v>
      </c>
      <c r="T1076" s="461">
        <v>0</v>
      </c>
      <c r="U1076" s="461">
        <v>0</v>
      </c>
      <c r="V1076" s="461">
        <v>0</v>
      </c>
    </row>
    <row r="1077" spans="1:22" s="455" customFormat="1" hidden="1">
      <c r="A1077" s="455" t="str">
        <f t="shared" si="32"/>
        <v>15309153601000</v>
      </c>
      <c r="B1077" s="455">
        <f>VLOOKUP(LEFT($C$3:$C$2600,3),Table!$D$2:$E$88,2,FALSE)</f>
        <v>0</v>
      </c>
      <c r="C1077" s="455" t="str">
        <f t="shared" si="33"/>
        <v>9153601000</v>
      </c>
      <c r="D1077" s="455" t="e">
        <f>VLOOKUP(G1077,Table!$G$3:$H$21,2,FALSE)</f>
        <v>#N/A</v>
      </c>
      <c r="E1077" s="452" t="s">
        <v>902</v>
      </c>
      <c r="F1077" s="452" t="s">
        <v>1441</v>
      </c>
      <c r="G1077" s="452" t="s">
        <v>1323</v>
      </c>
      <c r="H1077" s="452" t="s">
        <v>1324</v>
      </c>
      <c r="I1077" s="453" t="s">
        <v>844</v>
      </c>
      <c r="J1077" s="453">
        <v>133.56</v>
      </c>
      <c r="K1077" s="461">
        <v>133.56</v>
      </c>
      <c r="L1077" s="461">
        <v>0</v>
      </c>
      <c r="M1077" s="461">
        <v>133.56</v>
      </c>
      <c r="N1077" s="461">
        <v>0</v>
      </c>
      <c r="O1077" s="461">
        <v>0</v>
      </c>
      <c r="P1077" s="461">
        <v>0</v>
      </c>
      <c r="Q1077" s="461">
        <v>0</v>
      </c>
      <c r="R1077" s="461">
        <v>0</v>
      </c>
      <c r="S1077" s="461">
        <v>0</v>
      </c>
      <c r="T1077" s="461">
        <v>0</v>
      </c>
      <c r="U1077" s="461">
        <v>0</v>
      </c>
      <c r="V1077" s="461">
        <v>0</v>
      </c>
    </row>
    <row r="1078" spans="1:22" s="455" customFormat="1" hidden="1">
      <c r="A1078" s="455" t="str">
        <f t="shared" si="32"/>
        <v>15409150801000</v>
      </c>
      <c r="B1078" s="455">
        <f>VLOOKUP(LEFT($C$3:$C$2600,3),Table!$D$2:$E$88,2,FALSE)</f>
        <v>0</v>
      </c>
      <c r="C1078" s="455" t="str">
        <f t="shared" si="33"/>
        <v>9150801000</v>
      </c>
      <c r="D1078" s="455" t="e">
        <f>VLOOKUP(G1078,Table!$G$3:$H$21,2,FALSE)</f>
        <v>#N/A</v>
      </c>
      <c r="E1078" s="452" t="s">
        <v>902</v>
      </c>
      <c r="F1078" s="452" t="s">
        <v>1455</v>
      </c>
      <c r="G1078" s="452" t="s">
        <v>993</v>
      </c>
      <c r="H1078" s="452" t="s">
        <v>994</v>
      </c>
      <c r="I1078" s="453" t="s">
        <v>844</v>
      </c>
      <c r="J1078" s="453">
        <v>24260.32</v>
      </c>
      <c r="K1078" s="461">
        <v>8305.9599999999991</v>
      </c>
      <c r="L1078" s="461">
        <v>9024.36</v>
      </c>
      <c r="M1078" s="461">
        <v>6930</v>
      </c>
      <c r="N1078" s="461">
        <v>0</v>
      </c>
      <c r="O1078" s="461">
        <v>0</v>
      </c>
      <c r="P1078" s="461">
        <v>0</v>
      </c>
      <c r="Q1078" s="461">
        <v>0</v>
      </c>
      <c r="R1078" s="461">
        <v>0</v>
      </c>
      <c r="S1078" s="461">
        <v>0</v>
      </c>
      <c r="T1078" s="461">
        <v>0</v>
      </c>
      <c r="U1078" s="461">
        <v>0</v>
      </c>
      <c r="V1078" s="461">
        <v>0</v>
      </c>
    </row>
    <row r="1079" spans="1:22" s="455" customFormat="1" hidden="1">
      <c r="A1079" s="455" t="str">
        <f t="shared" si="32"/>
        <v>15409150801400</v>
      </c>
      <c r="B1079" s="455">
        <f>VLOOKUP(LEFT($C$3:$C$2600,3),Table!$D$2:$E$88,2,FALSE)</f>
        <v>0</v>
      </c>
      <c r="C1079" s="455" t="str">
        <f t="shared" si="33"/>
        <v>9150801400</v>
      </c>
      <c r="D1079" s="455" t="e">
        <f>VLOOKUP(G1079,Table!$G$3:$H$21,2,FALSE)</f>
        <v>#N/A</v>
      </c>
      <c r="E1079" s="452" t="s">
        <v>902</v>
      </c>
      <c r="F1079" s="452" t="s">
        <v>1455</v>
      </c>
      <c r="G1079" s="452" t="s">
        <v>997</v>
      </c>
      <c r="H1079" s="452" t="s">
        <v>998</v>
      </c>
      <c r="I1079" s="453" t="s">
        <v>844</v>
      </c>
      <c r="J1079" s="453">
        <v>3642</v>
      </c>
      <c r="K1079" s="461">
        <v>1247</v>
      </c>
      <c r="L1079" s="461">
        <v>1355</v>
      </c>
      <c r="M1079" s="461">
        <v>1040</v>
      </c>
      <c r="N1079" s="461">
        <v>0</v>
      </c>
      <c r="O1079" s="461">
        <v>0</v>
      </c>
      <c r="P1079" s="461">
        <v>0</v>
      </c>
      <c r="Q1079" s="461">
        <v>0</v>
      </c>
      <c r="R1079" s="461">
        <v>0</v>
      </c>
      <c r="S1079" s="461">
        <v>0</v>
      </c>
      <c r="T1079" s="461">
        <v>0</v>
      </c>
      <c r="U1079" s="461">
        <v>0</v>
      </c>
      <c r="V1079" s="461">
        <v>0</v>
      </c>
    </row>
    <row r="1080" spans="1:22" s="455" customFormat="1" hidden="1">
      <c r="A1080" s="455" t="str">
        <f t="shared" si="32"/>
        <v>15409150801500</v>
      </c>
      <c r="B1080" s="455">
        <f>VLOOKUP(LEFT($C$3:$C$2600,3),Table!$D$2:$E$88,2,FALSE)</f>
        <v>0</v>
      </c>
      <c r="C1080" s="455" t="str">
        <f t="shared" si="33"/>
        <v>9150801500</v>
      </c>
      <c r="D1080" s="455" t="e">
        <f>VLOOKUP(G1080,Table!$G$3:$H$21,2,FALSE)</f>
        <v>#N/A</v>
      </c>
      <c r="E1080" s="452" t="s">
        <v>902</v>
      </c>
      <c r="F1080" s="452" t="s">
        <v>1455</v>
      </c>
      <c r="G1080" s="452" t="s">
        <v>999</v>
      </c>
      <c r="H1080" s="452" t="s">
        <v>1000</v>
      </c>
      <c r="I1080" s="453" t="s">
        <v>844</v>
      </c>
      <c r="J1080" s="453">
        <v>360.6</v>
      </c>
      <c r="K1080" s="461">
        <v>125.15</v>
      </c>
      <c r="L1080" s="461">
        <v>135.65</v>
      </c>
      <c r="M1080" s="461">
        <v>99.8</v>
      </c>
      <c r="N1080" s="461">
        <v>0</v>
      </c>
      <c r="O1080" s="461">
        <v>0</v>
      </c>
      <c r="P1080" s="461">
        <v>0</v>
      </c>
      <c r="Q1080" s="461">
        <v>0</v>
      </c>
      <c r="R1080" s="461">
        <v>0</v>
      </c>
      <c r="S1080" s="461">
        <v>0</v>
      </c>
      <c r="T1080" s="461">
        <v>0</v>
      </c>
      <c r="U1080" s="461">
        <v>0</v>
      </c>
      <c r="V1080" s="461">
        <v>0</v>
      </c>
    </row>
    <row r="1081" spans="1:22" s="455" customFormat="1" hidden="1">
      <c r="A1081" s="455" t="str">
        <f t="shared" si="32"/>
        <v>15409150801600</v>
      </c>
      <c r="B1081" s="455">
        <f>VLOOKUP(LEFT($C$3:$C$2600,3),Table!$D$2:$E$88,2,FALSE)</f>
        <v>0</v>
      </c>
      <c r="C1081" s="455" t="str">
        <f t="shared" si="33"/>
        <v>9150801600</v>
      </c>
      <c r="D1081" s="455" t="e">
        <f>VLOOKUP(G1081,Table!$G$3:$H$21,2,FALSE)</f>
        <v>#N/A</v>
      </c>
      <c r="E1081" s="452" t="s">
        <v>902</v>
      </c>
      <c r="F1081" s="452" t="s">
        <v>1455</v>
      </c>
      <c r="G1081" s="452" t="s">
        <v>1001</v>
      </c>
      <c r="H1081" s="452" t="s">
        <v>1002</v>
      </c>
      <c r="I1081" s="453" t="s">
        <v>844</v>
      </c>
      <c r="J1081" s="453">
        <v>8393</v>
      </c>
      <c r="K1081" s="461">
        <v>3144</v>
      </c>
      <c r="L1081" s="461">
        <v>2975</v>
      </c>
      <c r="M1081" s="461">
        <v>2274</v>
      </c>
      <c r="N1081" s="461">
        <v>0</v>
      </c>
      <c r="O1081" s="461">
        <v>0</v>
      </c>
      <c r="P1081" s="461">
        <v>0</v>
      </c>
      <c r="Q1081" s="461">
        <v>0</v>
      </c>
      <c r="R1081" s="461">
        <v>0</v>
      </c>
      <c r="S1081" s="461">
        <v>0</v>
      </c>
      <c r="T1081" s="461">
        <v>0</v>
      </c>
      <c r="U1081" s="461">
        <v>0</v>
      </c>
      <c r="V1081" s="461">
        <v>0</v>
      </c>
    </row>
    <row r="1082" spans="1:22" s="455" customFormat="1" hidden="1">
      <c r="A1082" s="455" t="str">
        <f t="shared" si="32"/>
        <v>15409150801800</v>
      </c>
      <c r="B1082" s="455">
        <f>VLOOKUP(LEFT($C$3:$C$2600,3),Table!$D$2:$E$88,2,FALSE)</f>
        <v>0</v>
      </c>
      <c r="C1082" s="455" t="str">
        <f t="shared" si="33"/>
        <v>9150801800</v>
      </c>
      <c r="D1082" s="455" t="e">
        <f>VLOOKUP(G1082,Table!$G$3:$H$21,2,FALSE)</f>
        <v>#N/A</v>
      </c>
      <c r="E1082" s="452" t="s">
        <v>902</v>
      </c>
      <c r="F1082" s="452" t="s">
        <v>1455</v>
      </c>
      <c r="G1082" s="452" t="s">
        <v>1004</v>
      </c>
      <c r="H1082" s="452" t="s">
        <v>1005</v>
      </c>
      <c r="I1082" s="453" t="s">
        <v>844</v>
      </c>
      <c r="J1082" s="453">
        <v>715</v>
      </c>
      <c r="K1082" s="461">
        <v>355</v>
      </c>
      <c r="L1082" s="461">
        <v>190</v>
      </c>
      <c r="M1082" s="461">
        <v>170</v>
      </c>
      <c r="N1082" s="461">
        <v>0</v>
      </c>
      <c r="O1082" s="461">
        <v>0</v>
      </c>
      <c r="P1082" s="461">
        <v>0</v>
      </c>
      <c r="Q1082" s="461">
        <v>0</v>
      </c>
      <c r="R1082" s="461">
        <v>0</v>
      </c>
      <c r="S1082" s="461">
        <v>0</v>
      </c>
      <c r="T1082" s="461">
        <v>0</v>
      </c>
      <c r="U1082" s="461">
        <v>0</v>
      </c>
      <c r="V1082" s="461">
        <v>0</v>
      </c>
    </row>
    <row r="1083" spans="1:22" s="455" customFormat="1" hidden="1">
      <c r="A1083" s="455" t="str">
        <f t="shared" si="32"/>
        <v>15409150801900</v>
      </c>
      <c r="B1083" s="455">
        <f>VLOOKUP(LEFT($C$3:$C$2600,3),Table!$D$2:$E$88,2,FALSE)</f>
        <v>0</v>
      </c>
      <c r="C1083" s="455" t="str">
        <f t="shared" si="33"/>
        <v>9150801900</v>
      </c>
      <c r="D1083" s="455" t="e">
        <f>VLOOKUP(G1083,Table!$G$3:$H$21,2,FALSE)</f>
        <v>#N/A</v>
      </c>
      <c r="E1083" s="452" t="s">
        <v>902</v>
      </c>
      <c r="F1083" s="452" t="s">
        <v>1455</v>
      </c>
      <c r="G1083" s="452" t="s">
        <v>1006</v>
      </c>
      <c r="H1083" s="452" t="s">
        <v>1007</v>
      </c>
      <c r="I1083" s="453" t="s">
        <v>844</v>
      </c>
      <c r="J1083" s="453">
        <v>255.77</v>
      </c>
      <c r="K1083" s="461">
        <v>95.8</v>
      </c>
      <c r="L1083" s="461">
        <v>90.67</v>
      </c>
      <c r="M1083" s="461">
        <v>69.3</v>
      </c>
      <c r="N1083" s="461">
        <v>0</v>
      </c>
      <c r="O1083" s="461">
        <v>0</v>
      </c>
      <c r="P1083" s="461">
        <v>0</v>
      </c>
      <c r="Q1083" s="461">
        <v>0</v>
      </c>
      <c r="R1083" s="461">
        <v>0</v>
      </c>
      <c r="S1083" s="461">
        <v>0</v>
      </c>
      <c r="T1083" s="461">
        <v>0</v>
      </c>
      <c r="U1083" s="461">
        <v>0</v>
      </c>
      <c r="V1083" s="461">
        <v>0</v>
      </c>
    </row>
    <row r="1084" spans="1:22" s="455" customFormat="1" hidden="1">
      <c r="A1084" s="455" t="str">
        <f t="shared" si="32"/>
        <v>15409151301500</v>
      </c>
      <c r="B1084" s="455">
        <f>VLOOKUP(LEFT($C$3:$C$2600,3),Table!$D$2:$E$88,2,FALSE)</f>
        <v>0</v>
      </c>
      <c r="C1084" s="455" t="str">
        <f t="shared" si="33"/>
        <v>9151301500</v>
      </c>
      <c r="D1084" s="455" t="e">
        <f>VLOOKUP(G1084,Table!$G$3:$H$21,2,FALSE)</f>
        <v>#N/A</v>
      </c>
      <c r="E1084" s="452" t="s">
        <v>902</v>
      </c>
      <c r="F1084" s="452" t="s">
        <v>1455</v>
      </c>
      <c r="G1084" s="452" t="s">
        <v>1152</v>
      </c>
      <c r="H1084" s="452" t="s">
        <v>1153</v>
      </c>
      <c r="I1084" s="453" t="s">
        <v>844</v>
      </c>
      <c r="J1084" s="453">
        <v>4983.1000000000004</v>
      </c>
      <c r="K1084" s="461">
        <v>2625</v>
      </c>
      <c r="L1084" s="461">
        <v>1414.1</v>
      </c>
      <c r="M1084" s="461">
        <v>3007.2</v>
      </c>
      <c r="N1084" s="461">
        <v>0</v>
      </c>
      <c r="O1084" s="461">
        <v>0</v>
      </c>
      <c r="P1084" s="461">
        <v>0</v>
      </c>
      <c r="Q1084" s="461">
        <v>0</v>
      </c>
      <c r="R1084" s="461">
        <v>0</v>
      </c>
      <c r="S1084" s="461">
        <v>0</v>
      </c>
      <c r="T1084" s="461">
        <v>0</v>
      </c>
      <c r="U1084" s="461">
        <v>0</v>
      </c>
      <c r="V1084" s="461">
        <v>0</v>
      </c>
    </row>
    <row r="1085" spans="1:22" s="455" customFormat="1" hidden="1">
      <c r="A1085" s="455" t="str">
        <f t="shared" si="32"/>
        <v>15409151302500</v>
      </c>
      <c r="B1085" s="455">
        <f>VLOOKUP(LEFT($C$3:$C$2600,3),Table!$D$2:$E$88,2,FALSE)</f>
        <v>0</v>
      </c>
      <c r="C1085" s="455" t="str">
        <f t="shared" si="33"/>
        <v>9151302500</v>
      </c>
      <c r="D1085" s="455" t="e">
        <f>VLOOKUP(G1085,Table!$G$3:$H$21,2,FALSE)</f>
        <v>#N/A</v>
      </c>
      <c r="E1085" s="452" t="s">
        <v>902</v>
      </c>
      <c r="F1085" s="452" t="s">
        <v>1455</v>
      </c>
      <c r="G1085" s="452" t="s">
        <v>1154</v>
      </c>
      <c r="H1085" s="452" t="s">
        <v>1155</v>
      </c>
      <c r="I1085" s="453" t="s">
        <v>844</v>
      </c>
      <c r="J1085" s="453">
        <v>4860</v>
      </c>
      <c r="K1085" s="461">
        <v>60</v>
      </c>
      <c r="L1085" s="461">
        <v>350</v>
      </c>
      <c r="M1085" s="461">
        <v>4800</v>
      </c>
      <c r="N1085" s="461">
        <v>0</v>
      </c>
      <c r="O1085" s="461">
        <v>0</v>
      </c>
      <c r="P1085" s="461">
        <v>0</v>
      </c>
      <c r="Q1085" s="461">
        <v>0</v>
      </c>
      <c r="R1085" s="461">
        <v>0</v>
      </c>
      <c r="S1085" s="461">
        <v>0</v>
      </c>
      <c r="T1085" s="461">
        <v>0</v>
      </c>
      <c r="U1085" s="461">
        <v>0</v>
      </c>
      <c r="V1085" s="461">
        <v>0</v>
      </c>
    </row>
    <row r="1086" spans="1:22" s="455" customFormat="1" hidden="1">
      <c r="A1086" s="455" t="str">
        <f t="shared" si="32"/>
        <v>15409151306300</v>
      </c>
      <c r="B1086" s="455">
        <f>VLOOKUP(LEFT($C$3:$C$2600,3),Table!$D$2:$E$88,2,FALSE)</f>
        <v>0</v>
      </c>
      <c r="C1086" s="455" t="str">
        <f t="shared" si="33"/>
        <v>9151306300</v>
      </c>
      <c r="D1086" s="455" t="e">
        <f>VLOOKUP(G1086,Table!$G$3:$H$21,2,FALSE)</f>
        <v>#N/A</v>
      </c>
      <c r="E1086" s="452" t="s">
        <v>902</v>
      </c>
      <c r="F1086" s="452" t="s">
        <v>1455</v>
      </c>
      <c r="G1086" s="452" t="s">
        <v>1456</v>
      </c>
      <c r="H1086" s="452" t="s">
        <v>1457</v>
      </c>
      <c r="I1086" s="453" t="s">
        <v>844</v>
      </c>
      <c r="J1086" s="453">
        <v>114324.5</v>
      </c>
      <c r="K1086" s="461">
        <v>80185</v>
      </c>
      <c r="L1086" s="461">
        <v>16824</v>
      </c>
      <c r="M1086" s="461">
        <v>17315.5</v>
      </c>
      <c r="N1086" s="461">
        <v>0</v>
      </c>
      <c r="O1086" s="461">
        <v>0</v>
      </c>
      <c r="P1086" s="461">
        <v>0</v>
      </c>
      <c r="Q1086" s="461">
        <v>0</v>
      </c>
      <c r="R1086" s="461">
        <v>0</v>
      </c>
      <c r="S1086" s="461">
        <v>0</v>
      </c>
      <c r="T1086" s="461">
        <v>0</v>
      </c>
      <c r="U1086" s="461">
        <v>0</v>
      </c>
      <c r="V1086" s="461">
        <v>0</v>
      </c>
    </row>
    <row r="1087" spans="1:22" s="455" customFormat="1" hidden="1">
      <c r="A1087" s="455" t="str">
        <f t="shared" si="32"/>
        <v>15409151501100</v>
      </c>
      <c r="B1087" s="455">
        <f>VLOOKUP(LEFT($C$3:$C$2600,3),Table!$D$2:$E$88,2,FALSE)</f>
        <v>0</v>
      </c>
      <c r="C1087" s="455" t="str">
        <f t="shared" si="33"/>
        <v>9151501100</v>
      </c>
      <c r="D1087" s="455" t="e">
        <f>VLOOKUP(G1087,Table!$G$3:$H$21,2,FALSE)</f>
        <v>#N/A</v>
      </c>
      <c r="E1087" s="452" t="s">
        <v>902</v>
      </c>
      <c r="F1087" s="452" t="s">
        <v>1455</v>
      </c>
      <c r="G1087" s="452" t="s">
        <v>1009</v>
      </c>
      <c r="H1087" s="452" t="s">
        <v>1379</v>
      </c>
      <c r="I1087" s="453" t="s">
        <v>844</v>
      </c>
      <c r="J1087" s="453">
        <v>69</v>
      </c>
      <c r="K1087" s="461">
        <v>37.200000000000003</v>
      </c>
      <c r="L1087" s="461">
        <v>0</v>
      </c>
      <c r="M1087" s="461">
        <v>31.8</v>
      </c>
      <c r="N1087" s="461">
        <v>0</v>
      </c>
      <c r="O1087" s="461">
        <v>0</v>
      </c>
      <c r="P1087" s="461">
        <v>0</v>
      </c>
      <c r="Q1087" s="461">
        <v>0</v>
      </c>
      <c r="R1087" s="461">
        <v>0</v>
      </c>
      <c r="S1087" s="461">
        <v>0</v>
      </c>
      <c r="T1087" s="461">
        <v>0</v>
      </c>
      <c r="U1087" s="461">
        <v>0</v>
      </c>
      <c r="V1087" s="461">
        <v>0</v>
      </c>
    </row>
    <row r="1088" spans="1:22" s="455" customFormat="1" hidden="1">
      <c r="A1088" s="455" t="str">
        <f t="shared" si="32"/>
        <v>15409151501400</v>
      </c>
      <c r="B1088" s="455">
        <f>VLOOKUP(LEFT($C$3:$C$2600,3),Table!$D$2:$E$88,2,FALSE)</f>
        <v>0</v>
      </c>
      <c r="C1088" s="455" t="str">
        <f t="shared" si="33"/>
        <v>9151501400</v>
      </c>
      <c r="D1088" s="455" t="e">
        <f>VLOOKUP(G1088,Table!$G$3:$H$21,2,FALSE)</f>
        <v>#N/A</v>
      </c>
      <c r="E1088" s="452" t="s">
        <v>902</v>
      </c>
      <c r="F1088" s="452" t="s">
        <v>1455</v>
      </c>
      <c r="G1088" s="452" t="s">
        <v>1011</v>
      </c>
      <c r="H1088" s="452" t="s">
        <v>1012</v>
      </c>
      <c r="I1088" s="453" t="s">
        <v>844</v>
      </c>
      <c r="J1088" s="453">
        <v>9.6999999999999993</v>
      </c>
      <c r="K1088" s="461">
        <v>1.2</v>
      </c>
      <c r="L1088" s="461">
        <v>0</v>
      </c>
      <c r="M1088" s="461">
        <v>23.3</v>
      </c>
      <c r="N1088" s="461">
        <v>0</v>
      </c>
      <c r="O1088" s="461">
        <v>0</v>
      </c>
      <c r="P1088" s="461">
        <v>0</v>
      </c>
      <c r="Q1088" s="461">
        <v>0</v>
      </c>
      <c r="R1088" s="461">
        <v>0</v>
      </c>
      <c r="S1088" s="461">
        <v>0</v>
      </c>
      <c r="T1088" s="461">
        <v>0</v>
      </c>
      <c r="U1088" s="461">
        <v>0</v>
      </c>
      <c r="V1088" s="461">
        <v>0</v>
      </c>
    </row>
    <row r="1089" spans="1:22" s="455" customFormat="1" hidden="1">
      <c r="A1089" s="455" t="str">
        <f t="shared" si="32"/>
        <v>15409151502000</v>
      </c>
      <c r="B1089" s="455">
        <f>VLOOKUP(LEFT($C$3:$C$2600,3),Table!$D$2:$E$88,2,FALSE)</f>
        <v>0</v>
      </c>
      <c r="C1089" s="455" t="str">
        <f t="shared" si="33"/>
        <v>9151502000</v>
      </c>
      <c r="D1089" s="455" t="e">
        <f>VLOOKUP(G1089,Table!$G$3:$H$21,2,FALSE)</f>
        <v>#N/A</v>
      </c>
      <c r="E1089" s="452" t="s">
        <v>902</v>
      </c>
      <c r="F1089" s="452" t="s">
        <v>1455</v>
      </c>
      <c r="G1089" s="452" t="s">
        <v>1206</v>
      </c>
      <c r="H1089" s="452" t="s">
        <v>1207</v>
      </c>
      <c r="I1089" s="453" t="s">
        <v>844</v>
      </c>
      <c r="J1089" s="453">
        <v>0</v>
      </c>
      <c r="K1089" s="461">
        <v>0</v>
      </c>
      <c r="L1089" s="461">
        <v>0</v>
      </c>
      <c r="M1089" s="461">
        <v>6490</v>
      </c>
      <c r="N1089" s="461">
        <v>0</v>
      </c>
      <c r="O1089" s="461">
        <v>0</v>
      </c>
      <c r="P1089" s="461">
        <v>0</v>
      </c>
      <c r="Q1089" s="461">
        <v>0</v>
      </c>
      <c r="R1089" s="461">
        <v>0</v>
      </c>
      <c r="S1089" s="461">
        <v>0</v>
      </c>
      <c r="T1089" s="461">
        <v>0</v>
      </c>
      <c r="U1089" s="461">
        <v>0</v>
      </c>
      <c r="V1089" s="461">
        <v>0</v>
      </c>
    </row>
    <row r="1090" spans="1:22" s="455" customFormat="1" hidden="1">
      <c r="A1090" s="455" t="str">
        <f t="shared" si="32"/>
        <v>15409151502200</v>
      </c>
      <c r="B1090" s="455">
        <f>VLOOKUP(LEFT($C$3:$C$2600,3),Table!$D$2:$E$88,2,FALSE)</f>
        <v>0</v>
      </c>
      <c r="C1090" s="455" t="str">
        <f t="shared" si="33"/>
        <v>9151502200</v>
      </c>
      <c r="D1090" s="455" t="e">
        <f>VLOOKUP(G1090,Table!$G$3:$H$21,2,FALSE)</f>
        <v>#N/A</v>
      </c>
      <c r="E1090" s="452" t="s">
        <v>902</v>
      </c>
      <c r="F1090" s="452" t="s">
        <v>1455</v>
      </c>
      <c r="G1090" s="452" t="s">
        <v>1208</v>
      </c>
      <c r="H1090" s="452" t="s">
        <v>1209</v>
      </c>
      <c r="I1090" s="453" t="s">
        <v>844</v>
      </c>
      <c r="J1090" s="453">
        <v>300</v>
      </c>
      <c r="K1090" s="461">
        <v>0</v>
      </c>
      <c r="L1090" s="461">
        <v>300</v>
      </c>
      <c r="M1090" s="461">
        <v>465.26</v>
      </c>
      <c r="N1090" s="461">
        <v>0</v>
      </c>
      <c r="O1090" s="461">
        <v>0</v>
      </c>
      <c r="P1090" s="461">
        <v>0</v>
      </c>
      <c r="Q1090" s="461">
        <v>0</v>
      </c>
      <c r="R1090" s="461">
        <v>0</v>
      </c>
      <c r="S1090" s="461">
        <v>0</v>
      </c>
      <c r="T1090" s="461">
        <v>0</v>
      </c>
      <c r="U1090" s="461">
        <v>0</v>
      </c>
      <c r="V1090" s="461">
        <v>0</v>
      </c>
    </row>
    <row r="1091" spans="1:22" s="455" customFormat="1" hidden="1">
      <c r="A1091" s="455" t="str">
        <f t="shared" si="32"/>
        <v>15409151601001</v>
      </c>
      <c r="B1091" s="455">
        <f>VLOOKUP(LEFT($C$3:$C$2600,3),Table!$D$2:$E$88,2,FALSE)</f>
        <v>0</v>
      </c>
      <c r="C1091" s="455" t="str">
        <f t="shared" si="33"/>
        <v>9151601001</v>
      </c>
      <c r="D1091" s="455" t="e">
        <f>VLOOKUP(G1091,Table!$G$3:$H$21,2,FALSE)</f>
        <v>#N/A</v>
      </c>
      <c r="E1091" s="452" t="s">
        <v>902</v>
      </c>
      <c r="F1091" s="452" t="s">
        <v>1455</v>
      </c>
      <c r="G1091" s="452" t="s">
        <v>1015</v>
      </c>
      <c r="H1091" s="452" t="s">
        <v>1016</v>
      </c>
      <c r="I1091" s="453" t="s">
        <v>844</v>
      </c>
      <c r="J1091" s="453">
        <v>20</v>
      </c>
      <c r="K1091" s="461">
        <v>0</v>
      </c>
      <c r="L1091" s="461">
        <v>0</v>
      </c>
      <c r="M1091" s="461">
        <v>111.59</v>
      </c>
      <c r="N1091" s="461">
        <v>0</v>
      </c>
      <c r="O1091" s="461">
        <v>0</v>
      </c>
      <c r="P1091" s="461">
        <v>0</v>
      </c>
      <c r="Q1091" s="461">
        <v>0</v>
      </c>
      <c r="R1091" s="461">
        <v>0</v>
      </c>
      <c r="S1091" s="461">
        <v>0</v>
      </c>
      <c r="T1091" s="461">
        <v>0</v>
      </c>
      <c r="U1091" s="461">
        <v>0</v>
      </c>
      <c r="V1091" s="461">
        <v>0</v>
      </c>
    </row>
    <row r="1092" spans="1:22" s="455" customFormat="1" hidden="1">
      <c r="A1092" s="455" t="str">
        <f t="shared" ref="A1092:A1155" si="34">F1092&amp;G1092</f>
        <v>15409151602001</v>
      </c>
      <c r="B1092" s="455">
        <f>VLOOKUP(LEFT($C$3:$C$2600,3),Table!$D$2:$E$88,2,FALSE)</f>
        <v>0</v>
      </c>
      <c r="C1092" s="455" t="str">
        <f t="shared" ref="C1092:C1155" si="35">IF(ISNA(D1092),G1092,D1092)</f>
        <v>9151602001</v>
      </c>
      <c r="D1092" s="455" t="e">
        <f>VLOOKUP(G1092,Table!$G$3:$H$21,2,FALSE)</f>
        <v>#N/A</v>
      </c>
      <c r="E1092" s="452" t="s">
        <v>902</v>
      </c>
      <c r="F1092" s="452" t="s">
        <v>1455</v>
      </c>
      <c r="G1092" s="452" t="s">
        <v>2533</v>
      </c>
      <c r="H1092" s="452" t="s">
        <v>2534</v>
      </c>
      <c r="I1092" s="453" t="s">
        <v>844</v>
      </c>
      <c r="J1092" s="453">
        <v>0</v>
      </c>
      <c r="K1092" s="461">
        <v>0</v>
      </c>
      <c r="L1092" s="461">
        <v>0</v>
      </c>
      <c r="M1092" s="461">
        <v>50.72</v>
      </c>
      <c r="N1092" s="461">
        <v>0</v>
      </c>
      <c r="O1092" s="461">
        <v>0</v>
      </c>
      <c r="P1092" s="461">
        <v>0</v>
      </c>
      <c r="Q1092" s="461">
        <v>0</v>
      </c>
      <c r="R1092" s="461">
        <v>0</v>
      </c>
      <c r="S1092" s="461">
        <v>0</v>
      </c>
      <c r="T1092" s="461">
        <v>0</v>
      </c>
      <c r="U1092" s="461">
        <v>0</v>
      </c>
      <c r="V1092" s="461">
        <v>0</v>
      </c>
    </row>
    <row r="1093" spans="1:22" s="455" customFormat="1" hidden="1">
      <c r="A1093" s="455" t="str">
        <f t="shared" si="34"/>
        <v>15409151602100</v>
      </c>
      <c r="B1093" s="455">
        <f>VLOOKUP(LEFT($C$3:$C$2600,3),Table!$D$2:$E$88,2,FALSE)</f>
        <v>0</v>
      </c>
      <c r="C1093" s="455" t="str">
        <f t="shared" si="35"/>
        <v>9151602100</v>
      </c>
      <c r="D1093" s="455" t="e">
        <f>VLOOKUP(G1093,Table!$G$3:$H$21,2,FALSE)</f>
        <v>#N/A</v>
      </c>
      <c r="E1093" s="452" t="s">
        <v>902</v>
      </c>
      <c r="F1093" s="452" t="s">
        <v>1455</v>
      </c>
      <c r="G1093" s="452" t="s">
        <v>1210</v>
      </c>
      <c r="H1093" s="452" t="s">
        <v>1211</v>
      </c>
      <c r="I1093" s="453" t="s">
        <v>844</v>
      </c>
      <c r="J1093" s="453">
        <v>0</v>
      </c>
      <c r="K1093" s="461">
        <v>0</v>
      </c>
      <c r="L1093" s="461">
        <v>0</v>
      </c>
      <c r="M1093" s="461">
        <v>1697.96</v>
      </c>
      <c r="N1093" s="461">
        <v>0</v>
      </c>
      <c r="O1093" s="461">
        <v>0</v>
      </c>
      <c r="P1093" s="461">
        <v>0</v>
      </c>
      <c r="Q1093" s="461">
        <v>0</v>
      </c>
      <c r="R1093" s="461">
        <v>0</v>
      </c>
      <c r="S1093" s="461">
        <v>0</v>
      </c>
      <c r="T1093" s="461">
        <v>0</v>
      </c>
      <c r="U1093" s="461">
        <v>0</v>
      </c>
      <c r="V1093" s="461">
        <v>0</v>
      </c>
    </row>
    <row r="1094" spans="1:22" s="455" customFormat="1" hidden="1">
      <c r="A1094" s="455" t="str">
        <f t="shared" si="34"/>
        <v>15409152401900</v>
      </c>
      <c r="B1094" s="455">
        <f>VLOOKUP(LEFT($C$3:$C$2600,3),Table!$D$2:$E$88,2,FALSE)</f>
        <v>0</v>
      </c>
      <c r="C1094" s="455" t="str">
        <f t="shared" si="35"/>
        <v>9152401900</v>
      </c>
      <c r="D1094" s="455" t="e">
        <f>VLOOKUP(G1094,Table!$G$3:$H$21,2,FALSE)</f>
        <v>#N/A</v>
      </c>
      <c r="E1094" s="452" t="s">
        <v>902</v>
      </c>
      <c r="F1094" s="452" t="s">
        <v>1455</v>
      </c>
      <c r="G1094" s="452" t="s">
        <v>1458</v>
      </c>
      <c r="H1094" s="452" t="s">
        <v>1459</v>
      </c>
      <c r="I1094" s="453" t="s">
        <v>844</v>
      </c>
      <c r="J1094" s="453">
        <v>121</v>
      </c>
      <c r="K1094" s="461">
        <v>55</v>
      </c>
      <c r="L1094" s="461">
        <v>66</v>
      </c>
      <c r="M1094" s="461">
        <v>66</v>
      </c>
      <c r="N1094" s="461">
        <v>0</v>
      </c>
      <c r="O1094" s="461">
        <v>0</v>
      </c>
      <c r="P1094" s="461">
        <v>0</v>
      </c>
      <c r="Q1094" s="461">
        <v>0</v>
      </c>
      <c r="R1094" s="461">
        <v>0</v>
      </c>
      <c r="S1094" s="461">
        <v>0</v>
      </c>
      <c r="T1094" s="461">
        <v>0</v>
      </c>
      <c r="U1094" s="461">
        <v>0</v>
      </c>
      <c r="V1094" s="461">
        <v>0</v>
      </c>
    </row>
    <row r="1095" spans="1:22" s="455" customFormat="1" hidden="1">
      <c r="A1095" s="455" t="str">
        <f t="shared" si="34"/>
        <v>15409152801000</v>
      </c>
      <c r="B1095" s="455">
        <f>VLOOKUP(LEFT($C$3:$C$2600,3),Table!$D$2:$E$88,2,FALSE)</f>
        <v>0</v>
      </c>
      <c r="C1095" s="455" t="str">
        <f t="shared" si="35"/>
        <v>9152801000</v>
      </c>
      <c r="D1095" s="455" t="e">
        <f>VLOOKUP(G1095,Table!$G$3:$H$21,2,FALSE)</f>
        <v>#N/A</v>
      </c>
      <c r="E1095" s="452" t="s">
        <v>902</v>
      </c>
      <c r="F1095" s="452" t="s">
        <v>1455</v>
      </c>
      <c r="G1095" s="452" t="s">
        <v>1041</v>
      </c>
      <c r="H1095" s="452" t="s">
        <v>1042</v>
      </c>
      <c r="I1095" s="453" t="s">
        <v>844</v>
      </c>
      <c r="J1095" s="453">
        <v>4782.3500000000004</v>
      </c>
      <c r="K1095" s="461">
        <v>0</v>
      </c>
      <c r="L1095" s="461">
        <v>2900</v>
      </c>
      <c r="M1095" s="461">
        <v>1040.3499999999999</v>
      </c>
      <c r="N1095" s="461">
        <v>0</v>
      </c>
      <c r="O1095" s="461">
        <v>0</v>
      </c>
      <c r="P1095" s="461">
        <v>0</v>
      </c>
      <c r="Q1095" s="461">
        <v>0</v>
      </c>
      <c r="R1095" s="461">
        <v>0</v>
      </c>
      <c r="S1095" s="461">
        <v>0</v>
      </c>
      <c r="T1095" s="461">
        <v>0</v>
      </c>
      <c r="U1095" s="461">
        <v>0</v>
      </c>
      <c r="V1095" s="461">
        <v>0</v>
      </c>
    </row>
    <row r="1096" spans="1:22" s="455" customFormat="1" hidden="1">
      <c r="A1096" s="455" t="str">
        <f t="shared" si="34"/>
        <v>15409152804000</v>
      </c>
      <c r="B1096" s="455">
        <f>VLOOKUP(LEFT($C$3:$C$2600,3),Table!$D$2:$E$88,2,FALSE)</f>
        <v>0</v>
      </c>
      <c r="C1096" s="455" t="str">
        <f t="shared" si="35"/>
        <v>9152804000</v>
      </c>
      <c r="D1096" s="455" t="e">
        <f>VLOOKUP(G1096,Table!$G$3:$H$21,2,FALSE)</f>
        <v>#N/A</v>
      </c>
      <c r="E1096" s="452" t="s">
        <v>902</v>
      </c>
      <c r="F1096" s="452" t="s">
        <v>1455</v>
      </c>
      <c r="G1096" s="452" t="s">
        <v>1203</v>
      </c>
      <c r="H1096" s="452" t="s">
        <v>1204</v>
      </c>
      <c r="I1096" s="453" t="s">
        <v>844</v>
      </c>
      <c r="J1096" s="453">
        <v>-11143.33</v>
      </c>
      <c r="K1096" s="461">
        <v>0</v>
      </c>
      <c r="L1096" s="461">
        <v>0</v>
      </c>
      <c r="M1096" s="461">
        <v>-11143.33</v>
      </c>
      <c r="N1096" s="461">
        <v>0</v>
      </c>
      <c r="O1096" s="461">
        <v>0</v>
      </c>
      <c r="P1096" s="461">
        <v>0</v>
      </c>
      <c r="Q1096" s="461">
        <v>0</v>
      </c>
      <c r="R1096" s="461">
        <v>0</v>
      </c>
      <c r="S1096" s="461">
        <v>0</v>
      </c>
      <c r="T1096" s="461">
        <v>0</v>
      </c>
      <c r="U1096" s="461">
        <v>0</v>
      </c>
      <c r="V1096" s="461">
        <v>0</v>
      </c>
    </row>
    <row r="1097" spans="1:22" s="455" customFormat="1" hidden="1">
      <c r="A1097" s="455" t="str">
        <f t="shared" si="34"/>
        <v>15409153001000</v>
      </c>
      <c r="B1097" s="455">
        <f>VLOOKUP(LEFT($C$3:$C$2600,3),Table!$D$2:$E$88,2,FALSE)</f>
        <v>0</v>
      </c>
      <c r="C1097" s="455" t="str">
        <f t="shared" si="35"/>
        <v>9153001000</v>
      </c>
      <c r="D1097" s="455" t="e">
        <f>VLOOKUP(G1097,Table!$G$3:$H$21,2,FALSE)</f>
        <v>#N/A</v>
      </c>
      <c r="E1097" s="452" t="s">
        <v>902</v>
      </c>
      <c r="F1097" s="452" t="s">
        <v>1455</v>
      </c>
      <c r="G1097" s="452" t="s">
        <v>1043</v>
      </c>
      <c r="H1097" s="452" t="s">
        <v>1044</v>
      </c>
      <c r="I1097" s="453" t="s">
        <v>844</v>
      </c>
      <c r="J1097" s="453">
        <v>15072</v>
      </c>
      <c r="K1097" s="461">
        <v>5024</v>
      </c>
      <c r="L1097" s="461">
        <v>5024</v>
      </c>
      <c r="M1097" s="461">
        <v>5024</v>
      </c>
      <c r="N1097" s="461">
        <v>0</v>
      </c>
      <c r="O1097" s="461">
        <v>0</v>
      </c>
      <c r="P1097" s="461">
        <v>0</v>
      </c>
      <c r="Q1097" s="461">
        <v>0</v>
      </c>
      <c r="R1097" s="461">
        <v>0</v>
      </c>
      <c r="S1097" s="461">
        <v>0</v>
      </c>
      <c r="T1097" s="461">
        <v>0</v>
      </c>
      <c r="U1097" s="461">
        <v>0</v>
      </c>
      <c r="V1097" s="461">
        <v>0</v>
      </c>
    </row>
    <row r="1098" spans="1:22" s="455" customFormat="1" hidden="1">
      <c r="A1098" s="455" t="str">
        <f t="shared" si="34"/>
        <v>15409154500000</v>
      </c>
      <c r="B1098" s="455">
        <f>VLOOKUP(LEFT($C$3:$C$2600,3),Table!$D$2:$E$88,2,FALSE)</f>
        <v>0</v>
      </c>
      <c r="C1098" s="455" t="str">
        <f t="shared" si="35"/>
        <v>9154500000</v>
      </c>
      <c r="D1098" s="455" t="e">
        <f>VLOOKUP(G1098,Table!$G$3:$H$21,2,FALSE)</f>
        <v>#N/A</v>
      </c>
      <c r="E1098" s="452" t="s">
        <v>902</v>
      </c>
      <c r="F1098" s="452" t="s">
        <v>1455</v>
      </c>
      <c r="G1098" s="452" t="s">
        <v>1462</v>
      </c>
      <c r="H1098" s="452" t="s">
        <v>1463</v>
      </c>
      <c r="I1098" s="453" t="s">
        <v>844</v>
      </c>
      <c r="J1098" s="453">
        <v>54352</v>
      </c>
      <c r="K1098" s="461">
        <v>2654</v>
      </c>
      <c r="L1098" s="461">
        <v>31790</v>
      </c>
      <c r="M1098" s="461">
        <v>19908</v>
      </c>
      <c r="N1098" s="461">
        <v>0</v>
      </c>
      <c r="O1098" s="461">
        <v>0</v>
      </c>
      <c r="P1098" s="461">
        <v>0</v>
      </c>
      <c r="Q1098" s="461">
        <v>0</v>
      </c>
      <c r="R1098" s="461">
        <v>0</v>
      </c>
      <c r="S1098" s="461">
        <v>0</v>
      </c>
      <c r="T1098" s="461">
        <v>0</v>
      </c>
      <c r="U1098" s="461">
        <v>0</v>
      </c>
      <c r="V1098" s="461">
        <v>0</v>
      </c>
    </row>
    <row r="1099" spans="1:22" s="455" customFormat="1" hidden="1">
      <c r="A1099" s="455" t="str">
        <f t="shared" si="34"/>
        <v>15509150801000</v>
      </c>
      <c r="B1099" s="455">
        <f>VLOOKUP(LEFT($C$3:$C$2600,3),Table!$D$2:$E$88,2,FALSE)</f>
        <v>0</v>
      </c>
      <c r="C1099" s="455" t="str">
        <f t="shared" si="35"/>
        <v>9150801000</v>
      </c>
      <c r="D1099" s="455" t="e">
        <f>VLOOKUP(G1099,Table!$G$3:$H$21,2,FALSE)</f>
        <v>#N/A</v>
      </c>
      <c r="E1099" s="452" t="s">
        <v>902</v>
      </c>
      <c r="F1099" s="452" t="s">
        <v>1464</v>
      </c>
      <c r="G1099" s="452" t="s">
        <v>993</v>
      </c>
      <c r="H1099" s="452" t="s">
        <v>994</v>
      </c>
      <c r="I1099" s="453" t="s">
        <v>844</v>
      </c>
      <c r="J1099" s="453">
        <v>58541.54</v>
      </c>
      <c r="K1099" s="461">
        <v>18741.54</v>
      </c>
      <c r="L1099" s="461">
        <v>19900</v>
      </c>
      <c r="M1099" s="461">
        <v>19900</v>
      </c>
      <c r="N1099" s="461">
        <v>0</v>
      </c>
      <c r="O1099" s="461">
        <v>0</v>
      </c>
      <c r="P1099" s="461">
        <v>0</v>
      </c>
      <c r="Q1099" s="461">
        <v>0</v>
      </c>
      <c r="R1099" s="461">
        <v>0</v>
      </c>
      <c r="S1099" s="461">
        <v>0</v>
      </c>
      <c r="T1099" s="461">
        <v>0</v>
      </c>
      <c r="U1099" s="461">
        <v>0</v>
      </c>
      <c r="V1099" s="461">
        <v>0</v>
      </c>
    </row>
    <row r="1100" spans="1:22" s="455" customFormat="1" hidden="1">
      <c r="A1100" s="455" t="str">
        <f t="shared" si="34"/>
        <v>15509150801400</v>
      </c>
      <c r="B1100" s="455">
        <f>VLOOKUP(LEFT($C$3:$C$2600,3),Table!$D$2:$E$88,2,FALSE)</f>
        <v>0</v>
      </c>
      <c r="C1100" s="455" t="str">
        <f t="shared" si="35"/>
        <v>9150801400</v>
      </c>
      <c r="D1100" s="455" t="e">
        <f>VLOOKUP(G1100,Table!$G$3:$H$21,2,FALSE)</f>
        <v>#N/A</v>
      </c>
      <c r="E1100" s="452" t="s">
        <v>902</v>
      </c>
      <c r="F1100" s="452" t="s">
        <v>1464</v>
      </c>
      <c r="G1100" s="452" t="s">
        <v>997</v>
      </c>
      <c r="H1100" s="452" t="s">
        <v>998</v>
      </c>
      <c r="I1100" s="453" t="s">
        <v>844</v>
      </c>
      <c r="J1100" s="453">
        <v>6632</v>
      </c>
      <c r="K1100" s="461">
        <v>2120</v>
      </c>
      <c r="L1100" s="461">
        <v>2256</v>
      </c>
      <c r="M1100" s="461">
        <v>2256</v>
      </c>
      <c r="N1100" s="461">
        <v>0</v>
      </c>
      <c r="O1100" s="461">
        <v>0</v>
      </c>
      <c r="P1100" s="461">
        <v>0</v>
      </c>
      <c r="Q1100" s="461">
        <v>0</v>
      </c>
      <c r="R1100" s="461">
        <v>0</v>
      </c>
      <c r="S1100" s="461">
        <v>0</v>
      </c>
      <c r="T1100" s="461">
        <v>0</v>
      </c>
      <c r="U1100" s="461">
        <v>0</v>
      </c>
      <c r="V1100" s="461">
        <v>0</v>
      </c>
    </row>
    <row r="1101" spans="1:22" s="455" customFormat="1" hidden="1">
      <c r="A1101" s="455" t="str">
        <f t="shared" si="34"/>
        <v>15509150801500</v>
      </c>
      <c r="B1101" s="455">
        <f>VLOOKUP(LEFT($C$3:$C$2600,3),Table!$D$2:$E$88,2,FALSE)</f>
        <v>0</v>
      </c>
      <c r="C1101" s="455" t="str">
        <f t="shared" si="35"/>
        <v>9150801500</v>
      </c>
      <c r="D1101" s="455" t="e">
        <f>VLOOKUP(G1101,Table!$G$3:$H$21,2,FALSE)</f>
        <v>#N/A</v>
      </c>
      <c r="E1101" s="452" t="s">
        <v>902</v>
      </c>
      <c r="F1101" s="452" t="s">
        <v>1464</v>
      </c>
      <c r="G1101" s="452" t="s">
        <v>999</v>
      </c>
      <c r="H1101" s="452" t="s">
        <v>1000</v>
      </c>
      <c r="I1101" s="453" t="s">
        <v>844</v>
      </c>
      <c r="J1101" s="453">
        <v>692.45</v>
      </c>
      <c r="K1101" s="461">
        <v>217.95</v>
      </c>
      <c r="L1101" s="461">
        <v>237.25</v>
      </c>
      <c r="M1101" s="461">
        <v>237.25</v>
      </c>
      <c r="N1101" s="461">
        <v>0</v>
      </c>
      <c r="O1101" s="461">
        <v>0</v>
      </c>
      <c r="P1101" s="461">
        <v>0</v>
      </c>
      <c r="Q1101" s="461">
        <v>0</v>
      </c>
      <c r="R1101" s="461">
        <v>0</v>
      </c>
      <c r="S1101" s="461">
        <v>0</v>
      </c>
      <c r="T1101" s="461">
        <v>0</v>
      </c>
      <c r="U1101" s="461">
        <v>0</v>
      </c>
      <c r="V1101" s="461">
        <v>0</v>
      </c>
    </row>
    <row r="1102" spans="1:22" s="455" customFormat="1" hidden="1">
      <c r="A1102" s="455" t="str">
        <f t="shared" si="34"/>
        <v>15509150801600</v>
      </c>
      <c r="B1102" s="455">
        <f>VLOOKUP(LEFT($C$3:$C$2600,3),Table!$D$2:$E$88,2,FALSE)</f>
        <v>0</v>
      </c>
      <c r="C1102" s="455" t="str">
        <f t="shared" si="35"/>
        <v>9150801600</v>
      </c>
      <c r="D1102" s="455" t="e">
        <f>VLOOKUP(G1102,Table!$G$3:$H$21,2,FALSE)</f>
        <v>#N/A</v>
      </c>
      <c r="E1102" s="452" t="s">
        <v>902</v>
      </c>
      <c r="F1102" s="452" t="s">
        <v>1464</v>
      </c>
      <c r="G1102" s="452" t="s">
        <v>1001</v>
      </c>
      <c r="H1102" s="452" t="s">
        <v>1002</v>
      </c>
      <c r="I1102" s="453" t="s">
        <v>844</v>
      </c>
      <c r="J1102" s="453">
        <v>13683</v>
      </c>
      <c r="K1102" s="461">
        <v>4561</v>
      </c>
      <c r="L1102" s="461">
        <v>4561</v>
      </c>
      <c r="M1102" s="461">
        <v>4561</v>
      </c>
      <c r="N1102" s="461">
        <v>0</v>
      </c>
      <c r="O1102" s="461">
        <v>0</v>
      </c>
      <c r="P1102" s="461">
        <v>0</v>
      </c>
      <c r="Q1102" s="461">
        <v>0</v>
      </c>
      <c r="R1102" s="461">
        <v>0</v>
      </c>
      <c r="S1102" s="461">
        <v>0</v>
      </c>
      <c r="T1102" s="461">
        <v>0</v>
      </c>
      <c r="U1102" s="461">
        <v>0</v>
      </c>
      <c r="V1102" s="461">
        <v>0</v>
      </c>
    </row>
    <row r="1103" spans="1:22" s="455" customFormat="1" hidden="1">
      <c r="A1103" s="455" t="str">
        <f t="shared" si="34"/>
        <v>15509150801800</v>
      </c>
      <c r="B1103" s="455">
        <f>VLOOKUP(LEFT($C$3:$C$2600,3),Table!$D$2:$E$88,2,FALSE)</f>
        <v>0</v>
      </c>
      <c r="C1103" s="455" t="str">
        <f t="shared" si="35"/>
        <v>9150801800</v>
      </c>
      <c r="D1103" s="455" t="e">
        <f>VLOOKUP(G1103,Table!$G$3:$H$21,2,FALSE)</f>
        <v>#N/A</v>
      </c>
      <c r="E1103" s="452" t="s">
        <v>902</v>
      </c>
      <c r="F1103" s="452" t="s">
        <v>1464</v>
      </c>
      <c r="G1103" s="452" t="s">
        <v>1004</v>
      </c>
      <c r="H1103" s="452" t="s">
        <v>1005</v>
      </c>
      <c r="I1103" s="453" t="s">
        <v>844</v>
      </c>
      <c r="J1103" s="453">
        <v>390</v>
      </c>
      <c r="K1103" s="461">
        <v>80</v>
      </c>
      <c r="L1103" s="461">
        <v>180</v>
      </c>
      <c r="M1103" s="461">
        <v>130</v>
      </c>
      <c r="N1103" s="461">
        <v>0</v>
      </c>
      <c r="O1103" s="461">
        <v>0</v>
      </c>
      <c r="P1103" s="461">
        <v>0</v>
      </c>
      <c r="Q1103" s="461">
        <v>0</v>
      </c>
      <c r="R1103" s="461">
        <v>0</v>
      </c>
      <c r="S1103" s="461">
        <v>0</v>
      </c>
      <c r="T1103" s="461">
        <v>0</v>
      </c>
      <c r="U1103" s="461">
        <v>0</v>
      </c>
      <c r="V1103" s="461">
        <v>0</v>
      </c>
    </row>
    <row r="1104" spans="1:22" s="455" customFormat="1" hidden="1">
      <c r="A1104" s="455" t="str">
        <f t="shared" si="34"/>
        <v>15509150801900</v>
      </c>
      <c r="B1104" s="455">
        <f>VLOOKUP(LEFT($C$3:$C$2600,3),Table!$D$2:$E$88,2,FALSE)</f>
        <v>0</v>
      </c>
      <c r="C1104" s="455" t="str">
        <f t="shared" si="35"/>
        <v>9150801900</v>
      </c>
      <c r="D1104" s="455" t="e">
        <f>VLOOKUP(G1104,Table!$G$3:$H$21,2,FALSE)</f>
        <v>#N/A</v>
      </c>
      <c r="E1104" s="452" t="s">
        <v>902</v>
      </c>
      <c r="F1104" s="452" t="s">
        <v>1464</v>
      </c>
      <c r="G1104" s="452" t="s">
        <v>1006</v>
      </c>
      <c r="H1104" s="452" t="s">
        <v>1007</v>
      </c>
      <c r="I1104" s="453" t="s">
        <v>844</v>
      </c>
      <c r="J1104" s="453">
        <v>417</v>
      </c>
      <c r="K1104" s="461">
        <v>139</v>
      </c>
      <c r="L1104" s="461">
        <v>139</v>
      </c>
      <c r="M1104" s="461">
        <v>139</v>
      </c>
      <c r="N1104" s="461">
        <v>0</v>
      </c>
      <c r="O1104" s="461">
        <v>0</v>
      </c>
      <c r="P1104" s="461">
        <v>0</v>
      </c>
      <c r="Q1104" s="461">
        <v>0</v>
      </c>
      <c r="R1104" s="461">
        <v>0</v>
      </c>
      <c r="S1104" s="461">
        <v>0</v>
      </c>
      <c r="T1104" s="461">
        <v>0</v>
      </c>
      <c r="U1104" s="461">
        <v>0</v>
      </c>
      <c r="V1104" s="461">
        <v>0</v>
      </c>
    </row>
    <row r="1105" spans="1:22" s="455" customFormat="1" hidden="1">
      <c r="A1105" s="455" t="str">
        <f t="shared" si="34"/>
        <v>15509151301500</v>
      </c>
      <c r="B1105" s="455">
        <f>VLOOKUP(LEFT($C$3:$C$2600,3),Table!$D$2:$E$88,2,FALSE)</f>
        <v>0</v>
      </c>
      <c r="C1105" s="455" t="str">
        <f t="shared" si="35"/>
        <v>9151301500</v>
      </c>
      <c r="D1105" s="455" t="e">
        <f>VLOOKUP(G1105,Table!$G$3:$H$21,2,FALSE)</f>
        <v>#N/A</v>
      </c>
      <c r="E1105" s="452" t="s">
        <v>902</v>
      </c>
      <c r="F1105" s="452" t="s">
        <v>1464</v>
      </c>
      <c r="G1105" s="452" t="s">
        <v>1152</v>
      </c>
      <c r="H1105" s="452" t="s">
        <v>1153</v>
      </c>
      <c r="I1105" s="453" t="s">
        <v>844</v>
      </c>
      <c r="J1105" s="453">
        <v>-29611.7</v>
      </c>
      <c r="K1105" s="461">
        <v>313.3</v>
      </c>
      <c r="L1105" s="461">
        <v>-29925</v>
      </c>
      <c r="M1105" s="461">
        <v>0</v>
      </c>
      <c r="N1105" s="461">
        <v>0</v>
      </c>
      <c r="O1105" s="461">
        <v>0</v>
      </c>
      <c r="P1105" s="461">
        <v>0</v>
      </c>
      <c r="Q1105" s="461">
        <v>0</v>
      </c>
      <c r="R1105" s="461">
        <v>0</v>
      </c>
      <c r="S1105" s="461">
        <v>0</v>
      </c>
      <c r="T1105" s="461">
        <v>0</v>
      </c>
      <c r="U1105" s="461">
        <v>0</v>
      </c>
      <c r="V1105" s="461">
        <v>0</v>
      </c>
    </row>
    <row r="1106" spans="1:22" s="455" customFormat="1" hidden="1">
      <c r="A1106" s="455" t="str">
        <f t="shared" si="34"/>
        <v>15509151302500</v>
      </c>
      <c r="B1106" s="455">
        <f>VLOOKUP(LEFT($C$3:$C$2600,3),Table!$D$2:$E$88,2,FALSE)</f>
        <v>0</v>
      </c>
      <c r="C1106" s="455" t="str">
        <f t="shared" si="35"/>
        <v>9151302500</v>
      </c>
      <c r="D1106" s="455" t="e">
        <f>VLOOKUP(G1106,Table!$G$3:$H$21,2,FALSE)</f>
        <v>#N/A</v>
      </c>
      <c r="E1106" s="452" t="s">
        <v>902</v>
      </c>
      <c r="F1106" s="452" t="s">
        <v>1464</v>
      </c>
      <c r="G1106" s="452" t="s">
        <v>1154</v>
      </c>
      <c r="H1106" s="452" t="s">
        <v>1155</v>
      </c>
      <c r="I1106" s="453" t="s">
        <v>844</v>
      </c>
      <c r="J1106" s="453">
        <v>29925</v>
      </c>
      <c r="K1106" s="461">
        <v>30000</v>
      </c>
      <c r="L1106" s="461">
        <v>-75</v>
      </c>
      <c r="M1106" s="461">
        <v>0</v>
      </c>
      <c r="N1106" s="461">
        <v>0</v>
      </c>
      <c r="O1106" s="461">
        <v>0</v>
      </c>
      <c r="P1106" s="461">
        <v>0</v>
      </c>
      <c r="Q1106" s="461">
        <v>0</v>
      </c>
      <c r="R1106" s="461">
        <v>0</v>
      </c>
      <c r="S1106" s="461">
        <v>0</v>
      </c>
      <c r="T1106" s="461">
        <v>0</v>
      </c>
      <c r="U1106" s="461">
        <v>0</v>
      </c>
      <c r="V1106" s="461">
        <v>0</v>
      </c>
    </row>
    <row r="1107" spans="1:22" s="455" customFormat="1" hidden="1">
      <c r="A1107" s="455" t="str">
        <f t="shared" si="34"/>
        <v>15509151302700</v>
      </c>
      <c r="B1107" s="455">
        <f>VLOOKUP(LEFT($C$3:$C$2600,3),Table!$D$2:$E$88,2,FALSE)</f>
        <v>0</v>
      </c>
      <c r="C1107" s="455" t="str">
        <f t="shared" si="35"/>
        <v>9151302700</v>
      </c>
      <c r="D1107" s="455" t="e">
        <f>VLOOKUP(G1107,Table!$G$3:$H$21,2,FALSE)</f>
        <v>#N/A</v>
      </c>
      <c r="E1107" s="452" t="s">
        <v>902</v>
      </c>
      <c r="F1107" s="452" t="s">
        <v>1464</v>
      </c>
      <c r="G1107" s="452" t="s">
        <v>1473</v>
      </c>
      <c r="H1107" s="452" t="s">
        <v>1474</v>
      </c>
      <c r="I1107" s="453" t="s">
        <v>844</v>
      </c>
      <c r="J1107" s="453">
        <v>160</v>
      </c>
      <c r="K1107" s="461">
        <v>0</v>
      </c>
      <c r="L1107" s="461">
        <v>160</v>
      </c>
      <c r="M1107" s="461">
        <v>0</v>
      </c>
      <c r="N1107" s="461">
        <v>0</v>
      </c>
      <c r="O1107" s="461">
        <v>0</v>
      </c>
      <c r="P1107" s="461">
        <v>0</v>
      </c>
      <c r="Q1107" s="461">
        <v>0</v>
      </c>
      <c r="R1107" s="461">
        <v>0</v>
      </c>
      <c r="S1107" s="461">
        <v>0</v>
      </c>
      <c r="T1107" s="461">
        <v>0</v>
      </c>
      <c r="U1107" s="461">
        <v>0</v>
      </c>
      <c r="V1107" s="461">
        <v>0</v>
      </c>
    </row>
    <row r="1108" spans="1:22" s="455" customFormat="1" hidden="1">
      <c r="A1108" s="455" t="str">
        <f t="shared" si="34"/>
        <v>15509151501100</v>
      </c>
      <c r="B1108" s="455">
        <f>VLOOKUP(LEFT($C$3:$C$2600,3),Table!$D$2:$E$88,2,FALSE)</f>
        <v>0</v>
      </c>
      <c r="C1108" s="455" t="str">
        <f t="shared" si="35"/>
        <v>9151501100</v>
      </c>
      <c r="D1108" s="455" t="e">
        <f>VLOOKUP(G1108,Table!$G$3:$H$21,2,FALSE)</f>
        <v>#N/A</v>
      </c>
      <c r="E1108" s="452" t="s">
        <v>902</v>
      </c>
      <c r="F1108" s="452" t="s">
        <v>1464</v>
      </c>
      <c r="G1108" s="452" t="s">
        <v>1009</v>
      </c>
      <c r="H1108" s="452" t="s">
        <v>1379</v>
      </c>
      <c r="I1108" s="453" t="s">
        <v>844</v>
      </c>
      <c r="J1108" s="453">
        <v>355.8</v>
      </c>
      <c r="K1108" s="461">
        <v>39</v>
      </c>
      <c r="L1108" s="461">
        <v>82.8</v>
      </c>
      <c r="M1108" s="461">
        <v>306</v>
      </c>
      <c r="N1108" s="461">
        <v>0</v>
      </c>
      <c r="O1108" s="461">
        <v>0</v>
      </c>
      <c r="P1108" s="461">
        <v>0</v>
      </c>
      <c r="Q1108" s="461">
        <v>0</v>
      </c>
      <c r="R1108" s="461">
        <v>0</v>
      </c>
      <c r="S1108" s="461">
        <v>0</v>
      </c>
      <c r="T1108" s="461">
        <v>0</v>
      </c>
      <c r="U1108" s="461">
        <v>0</v>
      </c>
      <c r="V1108" s="461">
        <v>0</v>
      </c>
    </row>
    <row r="1109" spans="1:22" s="455" customFormat="1" hidden="1">
      <c r="A1109" s="455" t="str">
        <f t="shared" si="34"/>
        <v>15509151501400</v>
      </c>
      <c r="B1109" s="455">
        <f>VLOOKUP(LEFT($C$3:$C$2600,3),Table!$D$2:$E$88,2,FALSE)</f>
        <v>0</v>
      </c>
      <c r="C1109" s="455" t="str">
        <f t="shared" si="35"/>
        <v>9151501400</v>
      </c>
      <c r="D1109" s="455" t="e">
        <f>VLOOKUP(G1109,Table!$G$3:$H$21,2,FALSE)</f>
        <v>#N/A</v>
      </c>
      <c r="E1109" s="452" t="s">
        <v>902</v>
      </c>
      <c r="F1109" s="452" t="s">
        <v>1464</v>
      </c>
      <c r="G1109" s="452" t="s">
        <v>1011</v>
      </c>
      <c r="H1109" s="452" t="s">
        <v>1012</v>
      </c>
      <c r="I1109" s="453" t="s">
        <v>844</v>
      </c>
      <c r="J1109" s="453">
        <v>46.9</v>
      </c>
      <c r="K1109" s="461">
        <v>0</v>
      </c>
      <c r="L1109" s="461">
        <v>14.8</v>
      </c>
      <c r="M1109" s="461">
        <v>32.1</v>
      </c>
      <c r="N1109" s="461">
        <v>0</v>
      </c>
      <c r="O1109" s="461">
        <v>0</v>
      </c>
      <c r="P1109" s="461">
        <v>0</v>
      </c>
      <c r="Q1109" s="461">
        <v>0</v>
      </c>
      <c r="R1109" s="461">
        <v>0</v>
      </c>
      <c r="S1109" s="461">
        <v>0</v>
      </c>
      <c r="T1109" s="461">
        <v>0</v>
      </c>
      <c r="U1109" s="461">
        <v>0</v>
      </c>
      <c r="V1109" s="461">
        <v>0</v>
      </c>
    </row>
    <row r="1110" spans="1:22" s="455" customFormat="1" hidden="1">
      <c r="A1110" s="455" t="str">
        <f t="shared" si="34"/>
        <v>15509151601001</v>
      </c>
      <c r="B1110" s="455">
        <f>VLOOKUP(LEFT($C$3:$C$2600,3),Table!$D$2:$E$88,2,FALSE)</f>
        <v>0</v>
      </c>
      <c r="C1110" s="455" t="str">
        <f t="shared" si="35"/>
        <v>9151601001</v>
      </c>
      <c r="D1110" s="455" t="e">
        <f>VLOOKUP(G1110,Table!$G$3:$H$21,2,FALSE)</f>
        <v>#N/A</v>
      </c>
      <c r="E1110" s="452" t="s">
        <v>902</v>
      </c>
      <c r="F1110" s="452" t="s">
        <v>1464</v>
      </c>
      <c r="G1110" s="452" t="s">
        <v>1015</v>
      </c>
      <c r="H1110" s="452" t="s">
        <v>1016</v>
      </c>
      <c r="I1110" s="453" t="s">
        <v>844</v>
      </c>
      <c r="J1110" s="453">
        <v>1608</v>
      </c>
      <c r="K1110" s="461">
        <v>1414</v>
      </c>
      <c r="L1110" s="461">
        <v>194</v>
      </c>
      <c r="M1110" s="461">
        <v>0</v>
      </c>
      <c r="N1110" s="461">
        <v>0</v>
      </c>
      <c r="O1110" s="461">
        <v>0</v>
      </c>
      <c r="P1110" s="461">
        <v>0</v>
      </c>
      <c r="Q1110" s="461">
        <v>0</v>
      </c>
      <c r="R1110" s="461">
        <v>0</v>
      </c>
      <c r="S1110" s="461">
        <v>0</v>
      </c>
      <c r="T1110" s="461">
        <v>0</v>
      </c>
      <c r="U1110" s="461">
        <v>0</v>
      </c>
      <c r="V1110" s="461">
        <v>0</v>
      </c>
    </row>
    <row r="1111" spans="1:22" s="455" customFormat="1" hidden="1">
      <c r="A1111" s="455" t="str">
        <f t="shared" si="34"/>
        <v>15509151801100</v>
      </c>
      <c r="B1111" s="455">
        <f>VLOOKUP(LEFT($C$3:$C$2600,3),Table!$D$2:$E$88,2,FALSE)</f>
        <v>0</v>
      </c>
      <c r="C1111" s="455" t="str">
        <f t="shared" si="35"/>
        <v>9151801100</v>
      </c>
      <c r="D1111" s="455" t="e">
        <f>VLOOKUP(G1111,Table!$G$3:$H$21,2,FALSE)</f>
        <v>#N/A</v>
      </c>
      <c r="E1111" s="452" t="s">
        <v>902</v>
      </c>
      <c r="F1111" s="452" t="s">
        <v>1464</v>
      </c>
      <c r="G1111" s="452" t="s">
        <v>1017</v>
      </c>
      <c r="H1111" s="452" t="s">
        <v>1018</v>
      </c>
      <c r="I1111" s="453" t="s">
        <v>844</v>
      </c>
      <c r="J1111" s="453">
        <v>1791</v>
      </c>
      <c r="K1111" s="461">
        <v>1525</v>
      </c>
      <c r="L1111" s="461">
        <v>21</v>
      </c>
      <c r="M1111" s="461">
        <v>725</v>
      </c>
      <c r="N1111" s="461">
        <v>0</v>
      </c>
      <c r="O1111" s="461">
        <v>0</v>
      </c>
      <c r="P1111" s="461">
        <v>0</v>
      </c>
      <c r="Q1111" s="461">
        <v>0</v>
      </c>
      <c r="R1111" s="461">
        <v>0</v>
      </c>
      <c r="S1111" s="461">
        <v>0</v>
      </c>
      <c r="T1111" s="461">
        <v>0</v>
      </c>
      <c r="U1111" s="461">
        <v>0</v>
      </c>
      <c r="V1111" s="461">
        <v>0</v>
      </c>
    </row>
    <row r="1112" spans="1:22" s="455" customFormat="1" hidden="1">
      <c r="A1112" s="455" t="str">
        <f t="shared" si="34"/>
        <v>15509151801200</v>
      </c>
      <c r="B1112" s="455">
        <f>VLOOKUP(LEFT($C$3:$C$2600,3),Table!$D$2:$E$88,2,FALSE)</f>
        <v>0</v>
      </c>
      <c r="C1112" s="455" t="str">
        <f t="shared" si="35"/>
        <v>9151801200</v>
      </c>
      <c r="D1112" s="455" t="e">
        <f>VLOOKUP(G1112,Table!$G$3:$H$21,2,FALSE)</f>
        <v>#N/A</v>
      </c>
      <c r="E1112" s="452" t="s">
        <v>902</v>
      </c>
      <c r="F1112" s="452" t="s">
        <v>1464</v>
      </c>
      <c r="G1112" s="452" t="s">
        <v>1332</v>
      </c>
      <c r="H1112" s="452" t="s">
        <v>1333</v>
      </c>
      <c r="I1112" s="453" t="s">
        <v>844</v>
      </c>
      <c r="J1112" s="453">
        <v>750</v>
      </c>
      <c r="K1112" s="461">
        <v>0</v>
      </c>
      <c r="L1112" s="461">
        <v>0</v>
      </c>
      <c r="M1112" s="461">
        <v>750</v>
      </c>
      <c r="N1112" s="461">
        <v>0</v>
      </c>
      <c r="O1112" s="461">
        <v>0</v>
      </c>
      <c r="P1112" s="461">
        <v>0</v>
      </c>
      <c r="Q1112" s="461">
        <v>0</v>
      </c>
      <c r="R1112" s="461">
        <v>0</v>
      </c>
      <c r="S1112" s="461">
        <v>0</v>
      </c>
      <c r="T1112" s="461">
        <v>0</v>
      </c>
      <c r="U1112" s="461">
        <v>0</v>
      </c>
      <c r="V1112" s="461">
        <v>0</v>
      </c>
    </row>
    <row r="1113" spans="1:22" s="455" customFormat="1" hidden="1">
      <c r="A1113" s="455" t="str">
        <f t="shared" si="34"/>
        <v>15509151801300</v>
      </c>
      <c r="B1113" s="455">
        <f>VLOOKUP(LEFT($C$3:$C$2600,3),Table!$D$2:$E$88,2,FALSE)</f>
        <v>0</v>
      </c>
      <c r="C1113" s="455" t="str">
        <f t="shared" si="35"/>
        <v>9151801300</v>
      </c>
      <c r="D1113" s="455" t="e">
        <f>VLOOKUP(G1113,Table!$G$3:$H$21,2,FALSE)</f>
        <v>#N/A</v>
      </c>
      <c r="E1113" s="452" t="s">
        <v>902</v>
      </c>
      <c r="F1113" s="452" t="s">
        <v>1464</v>
      </c>
      <c r="G1113" s="452" t="s">
        <v>1166</v>
      </c>
      <c r="H1113" s="452" t="s">
        <v>1167</v>
      </c>
      <c r="I1113" s="453" t="s">
        <v>844</v>
      </c>
      <c r="J1113" s="453">
        <v>25</v>
      </c>
      <c r="K1113" s="461">
        <v>0</v>
      </c>
      <c r="L1113" s="461">
        <v>25</v>
      </c>
      <c r="M1113" s="461">
        <v>0</v>
      </c>
      <c r="N1113" s="461">
        <v>0</v>
      </c>
      <c r="O1113" s="461">
        <v>0</v>
      </c>
      <c r="P1113" s="461">
        <v>0</v>
      </c>
      <c r="Q1113" s="461">
        <v>0</v>
      </c>
      <c r="R1113" s="461">
        <v>0</v>
      </c>
      <c r="S1113" s="461">
        <v>0</v>
      </c>
      <c r="T1113" s="461">
        <v>0</v>
      </c>
      <c r="U1113" s="461">
        <v>0</v>
      </c>
      <c r="V1113" s="461">
        <v>0</v>
      </c>
    </row>
    <row r="1114" spans="1:22" s="455" customFormat="1" hidden="1">
      <c r="A1114" s="455" t="str">
        <f t="shared" si="34"/>
        <v>15509152301000</v>
      </c>
      <c r="B1114" s="455">
        <f>VLOOKUP(LEFT($C$3:$C$2600,3),Table!$D$2:$E$88,2,FALSE)</f>
        <v>0</v>
      </c>
      <c r="C1114" s="455" t="str">
        <f t="shared" si="35"/>
        <v>9152301000</v>
      </c>
      <c r="D1114" s="455" t="e">
        <f>VLOOKUP(G1114,Table!$G$3:$H$21,2,FALSE)</f>
        <v>#N/A</v>
      </c>
      <c r="E1114" s="452" t="s">
        <v>902</v>
      </c>
      <c r="F1114" s="452" t="s">
        <v>1464</v>
      </c>
      <c r="G1114" s="452" t="s">
        <v>1475</v>
      </c>
      <c r="H1114" s="452" t="s">
        <v>1476</v>
      </c>
      <c r="I1114" s="453" t="s">
        <v>844</v>
      </c>
      <c r="J1114" s="453">
        <v>26621.69</v>
      </c>
      <c r="K1114" s="461">
        <v>963.6</v>
      </c>
      <c r="L1114" s="461">
        <v>10634.7</v>
      </c>
      <c r="M1114" s="461">
        <v>15023.39</v>
      </c>
      <c r="N1114" s="461">
        <v>0</v>
      </c>
      <c r="O1114" s="461">
        <v>0</v>
      </c>
      <c r="P1114" s="461">
        <v>0</v>
      </c>
      <c r="Q1114" s="461">
        <v>0</v>
      </c>
      <c r="R1114" s="461">
        <v>0</v>
      </c>
      <c r="S1114" s="461">
        <v>0</v>
      </c>
      <c r="T1114" s="461">
        <v>0</v>
      </c>
      <c r="U1114" s="461">
        <v>0</v>
      </c>
      <c r="V1114" s="461">
        <v>0</v>
      </c>
    </row>
    <row r="1115" spans="1:22" s="455" customFormat="1" hidden="1">
      <c r="A1115" s="455" t="str">
        <f t="shared" si="34"/>
        <v>15509152301100</v>
      </c>
      <c r="B1115" s="455">
        <f>VLOOKUP(LEFT($C$3:$C$2600,3),Table!$D$2:$E$88,2,FALSE)</f>
        <v>0</v>
      </c>
      <c r="C1115" s="455" t="str">
        <f t="shared" si="35"/>
        <v>9152301100</v>
      </c>
      <c r="D1115" s="455" t="e">
        <f>VLOOKUP(G1115,Table!$G$3:$H$21,2,FALSE)</f>
        <v>#N/A</v>
      </c>
      <c r="E1115" s="452" t="s">
        <v>902</v>
      </c>
      <c r="F1115" s="452" t="s">
        <v>1464</v>
      </c>
      <c r="G1115" s="452" t="s">
        <v>1477</v>
      </c>
      <c r="H1115" s="452" t="s">
        <v>1478</v>
      </c>
      <c r="I1115" s="453" t="s">
        <v>844</v>
      </c>
      <c r="J1115" s="453">
        <v>33419.9</v>
      </c>
      <c r="K1115" s="461">
        <v>19011.25</v>
      </c>
      <c r="L1115" s="461">
        <v>26368.9</v>
      </c>
      <c r="M1115" s="461">
        <v>28847</v>
      </c>
      <c r="N1115" s="461">
        <v>0</v>
      </c>
      <c r="O1115" s="461">
        <v>0</v>
      </c>
      <c r="P1115" s="461">
        <v>0</v>
      </c>
      <c r="Q1115" s="461">
        <v>0</v>
      </c>
      <c r="R1115" s="461">
        <v>0</v>
      </c>
      <c r="S1115" s="461">
        <v>0</v>
      </c>
      <c r="T1115" s="461">
        <v>0</v>
      </c>
      <c r="U1115" s="461">
        <v>0</v>
      </c>
      <c r="V1115" s="461">
        <v>0</v>
      </c>
    </row>
    <row r="1116" spans="1:22" s="455" customFormat="1" hidden="1">
      <c r="A1116" s="455" t="str">
        <f t="shared" si="34"/>
        <v>15509152301300</v>
      </c>
      <c r="B1116" s="455">
        <f>VLOOKUP(LEFT($C$3:$C$2600,3),Table!$D$2:$E$88,2,FALSE)</f>
        <v>0</v>
      </c>
      <c r="C1116" s="455" t="str">
        <f t="shared" si="35"/>
        <v>9152301300</v>
      </c>
      <c r="D1116" s="455" t="e">
        <f>VLOOKUP(G1116,Table!$G$3:$H$21,2,FALSE)</f>
        <v>#N/A</v>
      </c>
      <c r="E1116" s="452" t="s">
        <v>902</v>
      </c>
      <c r="F1116" s="452" t="s">
        <v>1464</v>
      </c>
      <c r="G1116" s="452" t="s">
        <v>1479</v>
      </c>
      <c r="H1116" s="452" t="s">
        <v>1480</v>
      </c>
      <c r="I1116" s="453" t="s">
        <v>844</v>
      </c>
      <c r="J1116" s="453">
        <v>8109.2</v>
      </c>
      <c r="K1116" s="461">
        <v>1183.4000000000001</v>
      </c>
      <c r="L1116" s="461">
        <v>2467.8000000000002</v>
      </c>
      <c r="M1116" s="461">
        <v>1741</v>
      </c>
      <c r="N1116" s="461">
        <v>0</v>
      </c>
      <c r="O1116" s="461">
        <v>0</v>
      </c>
      <c r="P1116" s="461">
        <v>0</v>
      </c>
      <c r="Q1116" s="461">
        <v>0</v>
      </c>
      <c r="R1116" s="461">
        <v>0</v>
      </c>
      <c r="S1116" s="461">
        <v>0</v>
      </c>
      <c r="T1116" s="461">
        <v>0</v>
      </c>
      <c r="U1116" s="461">
        <v>0</v>
      </c>
      <c r="V1116" s="461">
        <v>0</v>
      </c>
    </row>
    <row r="1117" spans="1:22" s="455" customFormat="1" hidden="1">
      <c r="A1117" s="455" t="str">
        <f t="shared" si="34"/>
        <v>15509152403100</v>
      </c>
      <c r="B1117" s="455">
        <f>VLOOKUP(LEFT($C$3:$C$2600,3),Table!$D$2:$E$88,2,FALSE)</f>
        <v>0</v>
      </c>
      <c r="C1117" s="455" t="str">
        <f t="shared" si="35"/>
        <v>9152403100</v>
      </c>
      <c r="D1117" s="455" t="e">
        <f>VLOOKUP(G1117,Table!$G$3:$H$21,2,FALSE)</f>
        <v>#N/A</v>
      </c>
      <c r="E1117" s="452" t="s">
        <v>902</v>
      </c>
      <c r="F1117" s="452" t="s">
        <v>1464</v>
      </c>
      <c r="G1117" s="452" t="s">
        <v>1460</v>
      </c>
      <c r="H1117" s="452" t="s">
        <v>1461</v>
      </c>
      <c r="I1117" s="453" t="s">
        <v>844</v>
      </c>
      <c r="J1117" s="453">
        <v>550</v>
      </c>
      <c r="K1117" s="461">
        <v>0</v>
      </c>
      <c r="L1117" s="461">
        <v>550</v>
      </c>
      <c r="M1117" s="461">
        <v>0</v>
      </c>
      <c r="N1117" s="461">
        <v>0</v>
      </c>
      <c r="O1117" s="461">
        <v>0</v>
      </c>
      <c r="P1117" s="461">
        <v>0</v>
      </c>
      <c r="Q1117" s="461">
        <v>0</v>
      </c>
      <c r="R1117" s="461">
        <v>0</v>
      </c>
      <c r="S1117" s="461">
        <v>0</v>
      </c>
      <c r="T1117" s="461">
        <v>0</v>
      </c>
      <c r="U1117" s="461">
        <v>0</v>
      </c>
      <c r="V1117" s="461">
        <v>0</v>
      </c>
    </row>
    <row r="1118" spans="1:22" s="455" customFormat="1" hidden="1">
      <c r="A1118" s="455" t="str">
        <f t="shared" si="34"/>
        <v>15509152403300</v>
      </c>
      <c r="B1118" s="455">
        <f>VLOOKUP(LEFT($C$3:$C$2600,3),Table!$D$2:$E$88,2,FALSE)</f>
        <v>0</v>
      </c>
      <c r="C1118" s="455" t="str">
        <f t="shared" si="35"/>
        <v>9152403300</v>
      </c>
      <c r="D1118" s="455" t="e">
        <f>VLOOKUP(G1118,Table!$G$3:$H$21,2,FALSE)</f>
        <v>#N/A</v>
      </c>
      <c r="E1118" s="452" t="s">
        <v>902</v>
      </c>
      <c r="F1118" s="452" t="s">
        <v>1464</v>
      </c>
      <c r="G1118" s="452" t="s">
        <v>1481</v>
      </c>
      <c r="H1118" s="452" t="s">
        <v>1482</v>
      </c>
      <c r="I1118" s="453" t="s">
        <v>844</v>
      </c>
      <c r="J1118" s="453">
        <v>7089</v>
      </c>
      <c r="K1118" s="461">
        <v>750</v>
      </c>
      <c r="L1118" s="461">
        <v>100</v>
      </c>
      <c r="M1118" s="461">
        <v>6239</v>
      </c>
      <c r="N1118" s="461">
        <v>0</v>
      </c>
      <c r="O1118" s="461">
        <v>0</v>
      </c>
      <c r="P1118" s="461">
        <v>0</v>
      </c>
      <c r="Q1118" s="461">
        <v>0</v>
      </c>
      <c r="R1118" s="461">
        <v>0</v>
      </c>
      <c r="S1118" s="461">
        <v>0</v>
      </c>
      <c r="T1118" s="461">
        <v>0</v>
      </c>
      <c r="U1118" s="461">
        <v>0</v>
      </c>
      <c r="V1118" s="461">
        <v>0</v>
      </c>
    </row>
    <row r="1119" spans="1:22" s="455" customFormat="1" hidden="1">
      <c r="A1119" s="455" t="str">
        <f t="shared" si="34"/>
        <v>15509152600000</v>
      </c>
      <c r="B1119" s="455">
        <f>VLOOKUP(LEFT($C$3:$C$2600,3),Table!$D$2:$E$88,2,FALSE)</f>
        <v>0</v>
      </c>
      <c r="C1119" s="455" t="str">
        <f t="shared" si="35"/>
        <v>9152600000</v>
      </c>
      <c r="D1119" s="455" t="e">
        <f>VLOOKUP(G1119,Table!$G$3:$H$21,2,FALSE)</f>
        <v>#N/A</v>
      </c>
      <c r="E1119" s="452" t="s">
        <v>902</v>
      </c>
      <c r="F1119" s="452" t="s">
        <v>1464</v>
      </c>
      <c r="G1119" s="452" t="s">
        <v>1446</v>
      </c>
      <c r="H1119" s="452" t="s">
        <v>1447</v>
      </c>
      <c r="I1119" s="453" t="s">
        <v>844</v>
      </c>
      <c r="J1119" s="453">
        <v>48707.7</v>
      </c>
      <c r="K1119" s="461">
        <v>16243.7</v>
      </c>
      <c r="L1119" s="461">
        <v>16232</v>
      </c>
      <c r="M1119" s="461">
        <v>16232</v>
      </c>
      <c r="N1119" s="461">
        <v>0</v>
      </c>
      <c r="O1119" s="461">
        <v>0</v>
      </c>
      <c r="P1119" s="461">
        <v>0</v>
      </c>
      <c r="Q1119" s="461">
        <v>0</v>
      </c>
      <c r="R1119" s="461">
        <v>0</v>
      </c>
      <c r="S1119" s="461">
        <v>0</v>
      </c>
      <c r="T1119" s="461">
        <v>0</v>
      </c>
      <c r="U1119" s="461">
        <v>0</v>
      </c>
      <c r="V1119" s="461">
        <v>0</v>
      </c>
    </row>
    <row r="1120" spans="1:22" s="455" customFormat="1" hidden="1">
      <c r="A1120" s="455" t="str">
        <f t="shared" si="34"/>
        <v>15509152801000</v>
      </c>
      <c r="B1120" s="455">
        <f>VLOOKUP(LEFT($C$3:$C$2600,3),Table!$D$2:$E$88,2,FALSE)</f>
        <v>0</v>
      </c>
      <c r="C1120" s="455" t="str">
        <f t="shared" si="35"/>
        <v>9152801000</v>
      </c>
      <c r="D1120" s="455" t="e">
        <f>VLOOKUP(G1120,Table!$G$3:$H$21,2,FALSE)</f>
        <v>#N/A</v>
      </c>
      <c r="E1120" s="452" t="s">
        <v>902</v>
      </c>
      <c r="F1120" s="452" t="s">
        <v>1464</v>
      </c>
      <c r="G1120" s="452" t="s">
        <v>1041</v>
      </c>
      <c r="H1120" s="452" t="s">
        <v>1042</v>
      </c>
      <c r="I1120" s="453" t="s">
        <v>844</v>
      </c>
      <c r="J1120" s="453">
        <v>2425</v>
      </c>
      <c r="K1120" s="461">
        <v>675</v>
      </c>
      <c r="L1120" s="461">
        <v>970</v>
      </c>
      <c r="M1120" s="461">
        <v>0</v>
      </c>
      <c r="N1120" s="461">
        <v>0</v>
      </c>
      <c r="O1120" s="461">
        <v>0</v>
      </c>
      <c r="P1120" s="461">
        <v>0</v>
      </c>
      <c r="Q1120" s="461">
        <v>0</v>
      </c>
      <c r="R1120" s="461">
        <v>0</v>
      </c>
      <c r="S1120" s="461">
        <v>0</v>
      </c>
      <c r="T1120" s="461">
        <v>0</v>
      </c>
      <c r="U1120" s="461">
        <v>0</v>
      </c>
      <c r="V1120" s="461">
        <v>0</v>
      </c>
    </row>
    <row r="1121" spans="1:22" s="455" customFormat="1" hidden="1">
      <c r="A1121" s="455" t="str">
        <f t="shared" si="34"/>
        <v>15509153001000</v>
      </c>
      <c r="B1121" s="455">
        <f>VLOOKUP(LEFT($C$3:$C$2600,3),Table!$D$2:$E$88,2,FALSE)</f>
        <v>0</v>
      </c>
      <c r="C1121" s="455" t="str">
        <f t="shared" si="35"/>
        <v>9153001000</v>
      </c>
      <c r="D1121" s="455" t="e">
        <f>VLOOKUP(G1121,Table!$G$3:$H$21,2,FALSE)</f>
        <v>#N/A</v>
      </c>
      <c r="E1121" s="452" t="s">
        <v>902</v>
      </c>
      <c r="F1121" s="452" t="s">
        <v>1464</v>
      </c>
      <c r="G1121" s="452" t="s">
        <v>1043</v>
      </c>
      <c r="H1121" s="452" t="s">
        <v>1044</v>
      </c>
      <c r="I1121" s="453" t="s">
        <v>844</v>
      </c>
      <c r="J1121" s="453">
        <v>259</v>
      </c>
      <c r="K1121" s="461">
        <v>41</v>
      </c>
      <c r="L1121" s="461">
        <v>109</v>
      </c>
      <c r="M1121" s="461">
        <v>109</v>
      </c>
      <c r="N1121" s="461">
        <v>0</v>
      </c>
      <c r="O1121" s="461">
        <v>0</v>
      </c>
      <c r="P1121" s="461">
        <v>0</v>
      </c>
      <c r="Q1121" s="461">
        <v>0</v>
      </c>
      <c r="R1121" s="461">
        <v>0</v>
      </c>
      <c r="S1121" s="461">
        <v>0</v>
      </c>
      <c r="T1121" s="461">
        <v>0</v>
      </c>
      <c r="U1121" s="461">
        <v>0</v>
      </c>
      <c r="V1121" s="461">
        <v>0</v>
      </c>
    </row>
    <row r="1122" spans="1:22" s="455" customFormat="1" hidden="1">
      <c r="A1122" s="455" t="str">
        <f t="shared" si="34"/>
        <v>15509155201000</v>
      </c>
      <c r="B1122" s="455">
        <f>VLOOKUP(LEFT($C$3:$C$2600,3),Table!$D$2:$E$88,2,FALSE)</f>
        <v>0</v>
      </c>
      <c r="C1122" s="455" t="str">
        <f t="shared" si="35"/>
        <v>9155201000</v>
      </c>
      <c r="D1122" s="455" t="e">
        <f>VLOOKUP(G1122,Table!$G$3:$H$21,2,FALSE)</f>
        <v>#N/A</v>
      </c>
      <c r="E1122" s="452" t="s">
        <v>902</v>
      </c>
      <c r="F1122" s="452" t="s">
        <v>1464</v>
      </c>
      <c r="G1122" s="452" t="s">
        <v>1483</v>
      </c>
      <c r="H1122" s="452" t="s">
        <v>1484</v>
      </c>
      <c r="I1122" s="453" t="s">
        <v>844</v>
      </c>
      <c r="J1122" s="453">
        <v>51395.3</v>
      </c>
      <c r="K1122" s="461">
        <v>3300</v>
      </c>
      <c r="L1122" s="461">
        <v>30485</v>
      </c>
      <c r="M1122" s="461">
        <v>17610.3</v>
      </c>
      <c r="N1122" s="461">
        <v>0</v>
      </c>
      <c r="O1122" s="461">
        <v>0</v>
      </c>
      <c r="P1122" s="461">
        <v>0</v>
      </c>
      <c r="Q1122" s="461">
        <v>0</v>
      </c>
      <c r="R1122" s="461">
        <v>0</v>
      </c>
      <c r="S1122" s="461">
        <v>0</v>
      </c>
      <c r="T1122" s="461">
        <v>0</v>
      </c>
      <c r="U1122" s="461">
        <v>0</v>
      </c>
      <c r="V1122" s="461">
        <v>0</v>
      </c>
    </row>
    <row r="1123" spans="1:22" s="455" customFormat="1" hidden="1">
      <c r="A1123" s="455" t="str">
        <f t="shared" si="34"/>
        <v>15509155202000</v>
      </c>
      <c r="B1123" s="455">
        <f>VLOOKUP(LEFT($C$3:$C$2600,3),Table!$D$2:$E$88,2,FALSE)</f>
        <v>0</v>
      </c>
      <c r="C1123" s="455" t="str">
        <f t="shared" si="35"/>
        <v>9155202000</v>
      </c>
      <c r="D1123" s="455" t="e">
        <f>VLOOKUP(G1123,Table!$G$3:$H$21,2,FALSE)</f>
        <v>#N/A</v>
      </c>
      <c r="E1123" s="452" t="s">
        <v>902</v>
      </c>
      <c r="F1123" s="452" t="s">
        <v>1464</v>
      </c>
      <c r="G1123" s="452" t="s">
        <v>1485</v>
      </c>
      <c r="H1123" s="452" t="s">
        <v>1486</v>
      </c>
      <c r="I1123" s="453" t="s">
        <v>844</v>
      </c>
      <c r="J1123" s="453">
        <v>9706.48</v>
      </c>
      <c r="K1123" s="461">
        <v>2497.77</v>
      </c>
      <c r="L1123" s="461">
        <v>3105.66</v>
      </c>
      <c r="M1123" s="461">
        <v>3165.15</v>
      </c>
      <c r="N1123" s="461">
        <v>0</v>
      </c>
      <c r="O1123" s="461">
        <v>0</v>
      </c>
      <c r="P1123" s="461">
        <v>0</v>
      </c>
      <c r="Q1123" s="461">
        <v>0</v>
      </c>
      <c r="R1123" s="461">
        <v>0</v>
      </c>
      <c r="S1123" s="461">
        <v>0</v>
      </c>
      <c r="T1123" s="461">
        <v>0</v>
      </c>
      <c r="U1123" s="461">
        <v>0</v>
      </c>
      <c r="V1123" s="461">
        <v>0</v>
      </c>
    </row>
    <row r="1124" spans="1:22" s="455" customFormat="1" hidden="1">
      <c r="A1124" s="455" t="str">
        <f t="shared" si="34"/>
        <v>16109151001000</v>
      </c>
      <c r="B1124" s="455">
        <f>VLOOKUP(LEFT($C$3:$C$2600,3),Table!$D$2:$E$88,2,FALSE)</f>
        <v>0</v>
      </c>
      <c r="C1124" s="455" t="str">
        <f t="shared" si="35"/>
        <v>9151001000</v>
      </c>
      <c r="D1124" s="455" t="e">
        <f>VLOOKUP(G1124,Table!$G$3:$H$21,2,FALSE)</f>
        <v>#N/A</v>
      </c>
      <c r="E1124" s="452" t="s">
        <v>902</v>
      </c>
      <c r="F1124" s="452" t="s">
        <v>1487</v>
      </c>
      <c r="G1124" s="452" t="s">
        <v>1129</v>
      </c>
      <c r="H1124" s="452" t="s">
        <v>994</v>
      </c>
      <c r="I1124" s="453" t="s">
        <v>844</v>
      </c>
      <c r="J1124" s="453">
        <v>6360</v>
      </c>
      <c r="K1124" s="461">
        <v>2120</v>
      </c>
      <c r="L1124" s="461">
        <v>2120</v>
      </c>
      <c r="M1124" s="461">
        <v>2120</v>
      </c>
      <c r="N1124" s="461">
        <v>0</v>
      </c>
      <c r="O1124" s="461">
        <v>0</v>
      </c>
      <c r="P1124" s="461">
        <v>0</v>
      </c>
      <c r="Q1124" s="461">
        <v>0</v>
      </c>
      <c r="R1124" s="461">
        <v>0</v>
      </c>
      <c r="S1124" s="461">
        <v>0</v>
      </c>
      <c r="T1124" s="461">
        <v>0</v>
      </c>
      <c r="U1124" s="461">
        <v>0</v>
      </c>
      <c r="V1124" s="461">
        <v>0</v>
      </c>
    </row>
    <row r="1125" spans="1:22" s="455" customFormat="1" hidden="1">
      <c r="A1125" s="455" t="str">
        <f t="shared" si="34"/>
        <v>16109151001100</v>
      </c>
      <c r="B1125" s="455">
        <f>VLOOKUP(LEFT($C$3:$C$2600,3),Table!$D$2:$E$88,2,FALSE)</f>
        <v>0</v>
      </c>
      <c r="C1125" s="455" t="str">
        <f t="shared" si="35"/>
        <v>9151001100</v>
      </c>
      <c r="D1125" s="455" t="e">
        <f>VLOOKUP(G1125,Table!$G$3:$H$21,2,FALSE)</f>
        <v>#N/A</v>
      </c>
      <c r="E1125" s="452" t="s">
        <v>902</v>
      </c>
      <c r="F1125" s="452" t="s">
        <v>1487</v>
      </c>
      <c r="G1125" s="452" t="s">
        <v>1130</v>
      </c>
      <c r="H1125" s="452" t="s">
        <v>1131</v>
      </c>
      <c r="I1125" s="453" t="s">
        <v>844</v>
      </c>
      <c r="J1125" s="453">
        <v>3319</v>
      </c>
      <c r="K1125" s="461">
        <v>1698.85</v>
      </c>
      <c r="L1125" s="461">
        <v>808.14</v>
      </c>
      <c r="M1125" s="461">
        <v>964.95</v>
      </c>
      <c r="N1125" s="461">
        <v>0</v>
      </c>
      <c r="O1125" s="461">
        <v>0</v>
      </c>
      <c r="P1125" s="461">
        <v>0</v>
      </c>
      <c r="Q1125" s="461">
        <v>0</v>
      </c>
      <c r="R1125" s="461">
        <v>0</v>
      </c>
      <c r="S1125" s="461">
        <v>0</v>
      </c>
      <c r="T1125" s="461">
        <v>0</v>
      </c>
      <c r="U1125" s="461">
        <v>0</v>
      </c>
      <c r="V1125" s="461">
        <v>0</v>
      </c>
    </row>
    <row r="1126" spans="1:22" s="455" customFormat="1" hidden="1">
      <c r="A1126" s="455" t="str">
        <f t="shared" si="34"/>
        <v>16109151001400</v>
      </c>
      <c r="B1126" s="455">
        <f>VLOOKUP(LEFT($C$3:$C$2600,3),Table!$D$2:$E$88,2,FALSE)</f>
        <v>0</v>
      </c>
      <c r="C1126" s="455" t="str">
        <f t="shared" si="35"/>
        <v>9151001400</v>
      </c>
      <c r="D1126" s="455" t="e">
        <f>VLOOKUP(G1126,Table!$G$3:$H$21,2,FALSE)</f>
        <v>#N/A</v>
      </c>
      <c r="E1126" s="452" t="s">
        <v>902</v>
      </c>
      <c r="F1126" s="452" t="s">
        <v>1487</v>
      </c>
      <c r="G1126" s="452" t="s">
        <v>1133</v>
      </c>
      <c r="H1126" s="452" t="s">
        <v>998</v>
      </c>
      <c r="I1126" s="453" t="s">
        <v>844</v>
      </c>
      <c r="J1126" s="453">
        <v>965</v>
      </c>
      <c r="K1126" s="461">
        <v>326</v>
      </c>
      <c r="L1126" s="461">
        <v>321</v>
      </c>
      <c r="M1126" s="461">
        <v>318</v>
      </c>
      <c r="N1126" s="461">
        <v>0</v>
      </c>
      <c r="O1126" s="461">
        <v>0</v>
      </c>
      <c r="P1126" s="461">
        <v>0</v>
      </c>
      <c r="Q1126" s="461">
        <v>0</v>
      </c>
      <c r="R1126" s="461">
        <v>0</v>
      </c>
      <c r="S1126" s="461">
        <v>0</v>
      </c>
      <c r="T1126" s="461">
        <v>0</v>
      </c>
      <c r="U1126" s="461">
        <v>0</v>
      </c>
      <c r="V1126" s="461">
        <v>0</v>
      </c>
    </row>
    <row r="1127" spans="1:22" s="455" customFormat="1" hidden="1">
      <c r="A1127" s="455" t="str">
        <f t="shared" si="34"/>
        <v>16109151001410</v>
      </c>
      <c r="B1127" s="455">
        <f>VLOOKUP(LEFT($C$3:$C$2600,3),Table!$D$2:$E$88,2,FALSE)</f>
        <v>0</v>
      </c>
      <c r="C1127" s="455" t="str">
        <f t="shared" si="35"/>
        <v>9151001410</v>
      </c>
      <c r="D1127" s="455" t="e">
        <f>VLOOKUP(G1127,Table!$G$3:$H$21,2,FALSE)</f>
        <v>#N/A</v>
      </c>
      <c r="E1127" s="452" t="s">
        <v>902</v>
      </c>
      <c r="F1127" s="452" t="s">
        <v>1487</v>
      </c>
      <c r="G1127" s="452" t="s">
        <v>1134</v>
      </c>
      <c r="H1127" s="452" t="s">
        <v>1078</v>
      </c>
      <c r="I1127" s="453" t="s">
        <v>844</v>
      </c>
      <c r="J1127" s="453">
        <v>45</v>
      </c>
      <c r="K1127" s="461">
        <v>15</v>
      </c>
      <c r="L1127" s="461">
        <v>15</v>
      </c>
      <c r="M1127" s="461">
        <v>15</v>
      </c>
      <c r="N1127" s="461">
        <v>0</v>
      </c>
      <c r="O1127" s="461">
        <v>0</v>
      </c>
      <c r="P1127" s="461">
        <v>0</v>
      </c>
      <c r="Q1127" s="461">
        <v>0</v>
      </c>
      <c r="R1127" s="461">
        <v>0</v>
      </c>
      <c r="S1127" s="461">
        <v>0</v>
      </c>
      <c r="T1127" s="461">
        <v>0</v>
      </c>
      <c r="U1127" s="461">
        <v>0</v>
      </c>
      <c r="V1127" s="461">
        <v>0</v>
      </c>
    </row>
    <row r="1128" spans="1:22" s="455" customFormat="1" hidden="1">
      <c r="A1128" s="455" t="str">
        <f t="shared" si="34"/>
        <v>16109151001500</v>
      </c>
      <c r="B1128" s="455">
        <f>VLOOKUP(LEFT($C$3:$C$2600,3),Table!$D$2:$E$88,2,FALSE)</f>
        <v>0</v>
      </c>
      <c r="C1128" s="455" t="str">
        <f t="shared" si="35"/>
        <v>9151001500</v>
      </c>
      <c r="D1128" s="455" t="e">
        <f>VLOOKUP(G1128,Table!$G$3:$H$21,2,FALSE)</f>
        <v>#N/A</v>
      </c>
      <c r="E1128" s="452" t="s">
        <v>902</v>
      </c>
      <c r="F1128" s="452" t="s">
        <v>1487</v>
      </c>
      <c r="G1128" s="452" t="s">
        <v>1135</v>
      </c>
      <c r="H1128" s="452" t="s">
        <v>1136</v>
      </c>
      <c r="I1128" s="453" t="s">
        <v>844</v>
      </c>
      <c r="J1128" s="453">
        <v>154.94999999999999</v>
      </c>
      <c r="K1128" s="461">
        <v>51.65</v>
      </c>
      <c r="L1128" s="461">
        <v>51.65</v>
      </c>
      <c r="M1128" s="461">
        <v>51.65</v>
      </c>
      <c r="N1128" s="461">
        <v>0</v>
      </c>
      <c r="O1128" s="461">
        <v>0</v>
      </c>
      <c r="P1128" s="461">
        <v>0</v>
      </c>
      <c r="Q1128" s="461">
        <v>0</v>
      </c>
      <c r="R1128" s="461">
        <v>0</v>
      </c>
      <c r="S1128" s="461">
        <v>0</v>
      </c>
      <c r="T1128" s="461">
        <v>0</v>
      </c>
      <c r="U1128" s="461">
        <v>0</v>
      </c>
      <c r="V1128" s="461">
        <v>0</v>
      </c>
    </row>
    <row r="1129" spans="1:22" s="455" customFormat="1" hidden="1">
      <c r="A1129" s="455" t="str">
        <f t="shared" si="34"/>
        <v>16109151001600</v>
      </c>
      <c r="B1129" s="455">
        <f>VLOOKUP(LEFT($C$3:$C$2600,3),Table!$D$2:$E$88,2,FALSE)</f>
        <v>0</v>
      </c>
      <c r="C1129" s="455" t="str">
        <f t="shared" si="35"/>
        <v>9151001600</v>
      </c>
      <c r="D1129" s="455" t="e">
        <f>VLOOKUP(G1129,Table!$G$3:$H$21,2,FALSE)</f>
        <v>#N/A</v>
      </c>
      <c r="E1129" s="452" t="s">
        <v>902</v>
      </c>
      <c r="F1129" s="452" t="s">
        <v>1487</v>
      </c>
      <c r="G1129" s="452" t="s">
        <v>1137</v>
      </c>
      <c r="H1129" s="452" t="s">
        <v>1002</v>
      </c>
      <c r="I1129" s="453" t="s">
        <v>844</v>
      </c>
      <c r="J1129" s="453">
        <v>1451.1</v>
      </c>
      <c r="K1129" s="461">
        <v>483.7</v>
      </c>
      <c r="L1129" s="461">
        <v>483.7</v>
      </c>
      <c r="M1129" s="461">
        <v>483.7</v>
      </c>
      <c r="N1129" s="461">
        <v>0</v>
      </c>
      <c r="O1129" s="461">
        <v>0</v>
      </c>
      <c r="P1129" s="461">
        <v>0</v>
      </c>
      <c r="Q1129" s="461">
        <v>0</v>
      </c>
      <c r="R1129" s="461">
        <v>0</v>
      </c>
      <c r="S1129" s="461">
        <v>0</v>
      </c>
      <c r="T1129" s="461">
        <v>0</v>
      </c>
      <c r="U1129" s="461">
        <v>0</v>
      </c>
      <c r="V1129" s="461">
        <v>0</v>
      </c>
    </row>
    <row r="1130" spans="1:22" s="455" customFormat="1" hidden="1">
      <c r="A1130" s="455" t="str">
        <f t="shared" si="34"/>
        <v>16109151001700</v>
      </c>
      <c r="B1130" s="455">
        <f>VLOOKUP(LEFT($C$3:$C$2600,3),Table!$D$2:$E$88,2,FALSE)</f>
        <v>0</v>
      </c>
      <c r="C1130" s="455" t="str">
        <f t="shared" si="35"/>
        <v>9151001700</v>
      </c>
      <c r="D1130" s="455" t="e">
        <f>VLOOKUP(G1130,Table!$G$3:$H$21,2,FALSE)</f>
        <v>#N/A</v>
      </c>
      <c r="E1130" s="452" t="s">
        <v>902</v>
      </c>
      <c r="F1130" s="452" t="s">
        <v>1487</v>
      </c>
      <c r="G1130" s="452" t="s">
        <v>1138</v>
      </c>
      <c r="H1130" s="452" t="s">
        <v>1003</v>
      </c>
      <c r="I1130" s="453" t="s">
        <v>844</v>
      </c>
      <c r="J1130" s="453">
        <v>-3173.76</v>
      </c>
      <c r="K1130" s="461">
        <v>118.36</v>
      </c>
      <c r="L1130" s="461">
        <v>230.71</v>
      </c>
      <c r="M1130" s="461">
        <v>115.35</v>
      </c>
      <c r="N1130" s="461">
        <v>0</v>
      </c>
      <c r="O1130" s="461">
        <v>0</v>
      </c>
      <c r="P1130" s="461">
        <v>0</v>
      </c>
      <c r="Q1130" s="461">
        <v>0</v>
      </c>
      <c r="R1130" s="461">
        <v>0</v>
      </c>
      <c r="S1130" s="461">
        <v>0</v>
      </c>
      <c r="T1130" s="461">
        <v>0</v>
      </c>
      <c r="U1130" s="461">
        <v>0</v>
      </c>
      <c r="V1130" s="461">
        <v>0</v>
      </c>
    </row>
    <row r="1131" spans="1:22" s="455" customFormat="1" hidden="1">
      <c r="A1131" s="455" t="str">
        <f t="shared" si="34"/>
        <v>16109151001800</v>
      </c>
      <c r="B1131" s="455">
        <f>VLOOKUP(LEFT($C$3:$C$2600,3),Table!$D$2:$E$88,2,FALSE)</f>
        <v>0</v>
      </c>
      <c r="C1131" s="455" t="str">
        <f t="shared" si="35"/>
        <v>9151001800</v>
      </c>
      <c r="D1131" s="455" t="e">
        <f>VLOOKUP(G1131,Table!$G$3:$H$21,2,FALSE)</f>
        <v>#N/A</v>
      </c>
      <c r="E1131" s="452" t="s">
        <v>902</v>
      </c>
      <c r="F1131" s="452" t="s">
        <v>1487</v>
      </c>
      <c r="G1131" s="452" t="s">
        <v>1139</v>
      </c>
      <c r="H1131" s="452" t="s">
        <v>1005</v>
      </c>
      <c r="I1131" s="453" t="s">
        <v>844</v>
      </c>
      <c r="J1131" s="453">
        <v>346</v>
      </c>
      <c r="K1131" s="461">
        <v>154.69999999999999</v>
      </c>
      <c r="L1131" s="461">
        <v>95.9</v>
      </c>
      <c r="M1131" s="461">
        <v>95.4</v>
      </c>
      <c r="N1131" s="461">
        <v>0</v>
      </c>
      <c r="O1131" s="461">
        <v>0</v>
      </c>
      <c r="P1131" s="461">
        <v>0</v>
      </c>
      <c r="Q1131" s="461">
        <v>0</v>
      </c>
      <c r="R1131" s="461">
        <v>0</v>
      </c>
      <c r="S1131" s="461">
        <v>0</v>
      </c>
      <c r="T1131" s="461">
        <v>0</v>
      </c>
      <c r="U1131" s="461">
        <v>0</v>
      </c>
      <c r="V1131" s="461">
        <v>0</v>
      </c>
    </row>
    <row r="1132" spans="1:22" s="455" customFormat="1" hidden="1">
      <c r="A1132" s="455" t="str">
        <f t="shared" si="34"/>
        <v>16109151001900</v>
      </c>
      <c r="B1132" s="455">
        <f>VLOOKUP(LEFT($C$3:$C$2600,3),Table!$D$2:$E$88,2,FALSE)</f>
        <v>0</v>
      </c>
      <c r="C1132" s="455" t="str">
        <f t="shared" si="35"/>
        <v>9151001900</v>
      </c>
      <c r="D1132" s="455" t="e">
        <f>VLOOKUP(G1132,Table!$G$3:$H$21,2,FALSE)</f>
        <v>#N/A</v>
      </c>
      <c r="E1132" s="452" t="s">
        <v>902</v>
      </c>
      <c r="F1132" s="452" t="s">
        <v>1487</v>
      </c>
      <c r="G1132" s="452" t="s">
        <v>1140</v>
      </c>
      <c r="H1132" s="452" t="s">
        <v>1007</v>
      </c>
      <c r="I1132" s="453" t="s">
        <v>844</v>
      </c>
      <c r="J1132" s="453">
        <v>63.6</v>
      </c>
      <c r="K1132" s="461">
        <v>21.2</v>
      </c>
      <c r="L1132" s="461">
        <v>21.2</v>
      </c>
      <c r="M1132" s="461">
        <v>21.2</v>
      </c>
      <c r="N1132" s="461">
        <v>0</v>
      </c>
      <c r="O1132" s="461">
        <v>0</v>
      </c>
      <c r="P1132" s="461">
        <v>0</v>
      </c>
      <c r="Q1132" s="461">
        <v>0</v>
      </c>
      <c r="R1132" s="461">
        <v>0</v>
      </c>
      <c r="S1132" s="461">
        <v>0</v>
      </c>
      <c r="T1132" s="461">
        <v>0</v>
      </c>
      <c r="U1132" s="461">
        <v>0</v>
      </c>
      <c r="V1132" s="461">
        <v>0</v>
      </c>
    </row>
    <row r="1133" spans="1:22" s="455" customFormat="1" hidden="1">
      <c r="A1133" s="455" t="str">
        <f t="shared" si="34"/>
        <v>16109151101000</v>
      </c>
      <c r="B1133" s="455">
        <f>VLOOKUP(LEFT($C$3:$C$2600,3),Table!$D$2:$E$88,2,FALSE)</f>
        <v>0</v>
      </c>
      <c r="C1133" s="455" t="str">
        <f t="shared" si="35"/>
        <v>9151101000</v>
      </c>
      <c r="D1133" s="455" t="e">
        <f>VLOOKUP(G1133,Table!$G$3:$H$21,2,FALSE)</f>
        <v>#N/A</v>
      </c>
      <c r="E1133" s="452" t="s">
        <v>902</v>
      </c>
      <c r="F1133" s="452" t="s">
        <v>1487</v>
      </c>
      <c r="G1133" s="452" t="s">
        <v>1141</v>
      </c>
      <c r="H1133" s="452" t="s">
        <v>1068</v>
      </c>
      <c r="I1133" s="453" t="s">
        <v>844</v>
      </c>
      <c r="J1133" s="453">
        <v>9290.5</v>
      </c>
      <c r="K1133" s="461">
        <v>3328.39</v>
      </c>
      <c r="L1133" s="461">
        <v>3237.56</v>
      </c>
      <c r="M1133" s="461">
        <v>3212.02</v>
      </c>
      <c r="N1133" s="461">
        <v>0</v>
      </c>
      <c r="O1133" s="461">
        <v>0</v>
      </c>
      <c r="P1133" s="461">
        <v>0</v>
      </c>
      <c r="Q1133" s="461">
        <v>0</v>
      </c>
      <c r="R1133" s="461">
        <v>0</v>
      </c>
      <c r="S1133" s="461">
        <v>0</v>
      </c>
      <c r="T1133" s="461">
        <v>0</v>
      </c>
      <c r="U1133" s="461">
        <v>0</v>
      </c>
      <c r="V1133" s="461">
        <v>0</v>
      </c>
    </row>
    <row r="1134" spans="1:22" s="455" customFormat="1" hidden="1">
      <c r="A1134" s="455" t="str">
        <f t="shared" si="34"/>
        <v>16109151101100</v>
      </c>
      <c r="B1134" s="455">
        <f>VLOOKUP(LEFT($C$3:$C$2600,3),Table!$D$2:$E$88,2,FALSE)</f>
        <v>0</v>
      </c>
      <c r="C1134" s="455" t="str">
        <f t="shared" si="35"/>
        <v>9151101100</v>
      </c>
      <c r="D1134" s="455" t="e">
        <f>VLOOKUP(G1134,Table!$G$3:$H$21,2,FALSE)</f>
        <v>#N/A</v>
      </c>
      <c r="E1134" s="452" t="s">
        <v>902</v>
      </c>
      <c r="F1134" s="452" t="s">
        <v>1487</v>
      </c>
      <c r="G1134" s="452" t="s">
        <v>1142</v>
      </c>
      <c r="H1134" s="452" t="s">
        <v>1070</v>
      </c>
      <c r="I1134" s="453" t="s">
        <v>844</v>
      </c>
      <c r="J1134" s="453">
        <v>6205.12</v>
      </c>
      <c r="K1134" s="461">
        <v>2978.76</v>
      </c>
      <c r="L1134" s="461">
        <v>1658.31</v>
      </c>
      <c r="M1134" s="461">
        <v>1904.61</v>
      </c>
      <c r="N1134" s="461">
        <v>0</v>
      </c>
      <c r="O1134" s="461">
        <v>0</v>
      </c>
      <c r="P1134" s="461">
        <v>0</v>
      </c>
      <c r="Q1134" s="461">
        <v>0</v>
      </c>
      <c r="R1134" s="461">
        <v>0</v>
      </c>
      <c r="S1134" s="461">
        <v>0</v>
      </c>
      <c r="T1134" s="461">
        <v>0</v>
      </c>
      <c r="U1134" s="461">
        <v>0</v>
      </c>
      <c r="V1134" s="461">
        <v>0</v>
      </c>
    </row>
    <row r="1135" spans="1:22" s="455" customFormat="1" hidden="1">
      <c r="A1135" s="455" t="str">
        <f t="shared" si="34"/>
        <v>16109151101200</v>
      </c>
      <c r="B1135" s="455">
        <f>VLOOKUP(LEFT($C$3:$C$2600,3),Table!$D$2:$E$88,2,FALSE)</f>
        <v>0</v>
      </c>
      <c r="C1135" s="455" t="str">
        <f t="shared" si="35"/>
        <v>9151101200</v>
      </c>
      <c r="D1135" s="455" t="e">
        <f>VLOOKUP(G1135,Table!$G$3:$H$21,2,FALSE)</f>
        <v>#N/A</v>
      </c>
      <c r="E1135" s="452" t="s">
        <v>902</v>
      </c>
      <c r="F1135" s="452" t="s">
        <v>1487</v>
      </c>
      <c r="G1135" s="452" t="s">
        <v>1143</v>
      </c>
      <c r="H1135" s="452" t="s">
        <v>1072</v>
      </c>
      <c r="I1135" s="453" t="s">
        <v>844</v>
      </c>
      <c r="J1135" s="453">
        <v>728.54</v>
      </c>
      <c r="K1135" s="461">
        <v>254.27</v>
      </c>
      <c r="L1135" s="461">
        <v>226</v>
      </c>
      <c r="M1135" s="461">
        <v>248.27</v>
      </c>
      <c r="N1135" s="461">
        <v>0</v>
      </c>
      <c r="O1135" s="461">
        <v>0</v>
      </c>
      <c r="P1135" s="461">
        <v>0</v>
      </c>
      <c r="Q1135" s="461">
        <v>0</v>
      </c>
      <c r="R1135" s="461">
        <v>0</v>
      </c>
      <c r="S1135" s="461">
        <v>0</v>
      </c>
      <c r="T1135" s="461">
        <v>0</v>
      </c>
      <c r="U1135" s="461">
        <v>0</v>
      </c>
      <c r="V1135" s="461">
        <v>0</v>
      </c>
    </row>
    <row r="1136" spans="1:22" s="455" customFormat="1" hidden="1">
      <c r="A1136" s="455" t="str">
        <f t="shared" si="34"/>
        <v>16109151101400</v>
      </c>
      <c r="B1136" s="455">
        <f>VLOOKUP(LEFT($C$3:$C$2600,3),Table!$D$2:$E$88,2,FALSE)</f>
        <v>0</v>
      </c>
      <c r="C1136" s="455" t="str">
        <f t="shared" si="35"/>
        <v>9151101400</v>
      </c>
      <c r="D1136" s="455" t="e">
        <f>VLOOKUP(G1136,Table!$G$3:$H$21,2,FALSE)</f>
        <v>#N/A</v>
      </c>
      <c r="E1136" s="452" t="s">
        <v>902</v>
      </c>
      <c r="F1136" s="452" t="s">
        <v>1487</v>
      </c>
      <c r="G1136" s="452" t="s">
        <v>1145</v>
      </c>
      <c r="H1136" s="452" t="s">
        <v>1076</v>
      </c>
      <c r="I1136" s="453" t="s">
        <v>844</v>
      </c>
      <c r="J1136" s="453">
        <v>1220</v>
      </c>
      <c r="K1136" s="461">
        <v>403</v>
      </c>
      <c r="L1136" s="461">
        <v>402</v>
      </c>
      <c r="M1136" s="461">
        <v>415</v>
      </c>
      <c r="N1136" s="461">
        <v>0</v>
      </c>
      <c r="O1136" s="461">
        <v>0</v>
      </c>
      <c r="P1136" s="461">
        <v>0</v>
      </c>
      <c r="Q1136" s="461">
        <v>0</v>
      </c>
      <c r="R1136" s="461">
        <v>0</v>
      </c>
      <c r="S1136" s="461">
        <v>0</v>
      </c>
      <c r="T1136" s="461">
        <v>0</v>
      </c>
      <c r="U1136" s="461">
        <v>0</v>
      </c>
      <c r="V1136" s="461">
        <v>0</v>
      </c>
    </row>
    <row r="1137" spans="1:22" s="455" customFormat="1" hidden="1">
      <c r="A1137" s="455" t="str">
        <f t="shared" si="34"/>
        <v>16109151101410</v>
      </c>
      <c r="B1137" s="455">
        <f>VLOOKUP(LEFT($C$3:$C$2600,3),Table!$D$2:$E$88,2,FALSE)</f>
        <v>0</v>
      </c>
      <c r="C1137" s="455" t="str">
        <f t="shared" si="35"/>
        <v>9151101410</v>
      </c>
      <c r="D1137" s="455" t="e">
        <f>VLOOKUP(G1137,Table!$G$3:$H$21,2,FALSE)</f>
        <v>#N/A</v>
      </c>
      <c r="E1137" s="452" t="s">
        <v>902</v>
      </c>
      <c r="F1137" s="452" t="s">
        <v>1487</v>
      </c>
      <c r="G1137" s="452" t="s">
        <v>1146</v>
      </c>
      <c r="H1137" s="452" t="s">
        <v>1078</v>
      </c>
      <c r="I1137" s="453" t="s">
        <v>844</v>
      </c>
      <c r="J1137" s="453">
        <v>45</v>
      </c>
      <c r="K1137" s="461">
        <v>15</v>
      </c>
      <c r="L1137" s="461">
        <v>15</v>
      </c>
      <c r="M1137" s="461">
        <v>15</v>
      </c>
      <c r="N1137" s="461">
        <v>0</v>
      </c>
      <c r="O1137" s="461">
        <v>0</v>
      </c>
      <c r="P1137" s="461">
        <v>0</v>
      </c>
      <c r="Q1137" s="461">
        <v>0</v>
      </c>
      <c r="R1137" s="461">
        <v>0</v>
      </c>
      <c r="S1137" s="461">
        <v>0</v>
      </c>
      <c r="T1137" s="461">
        <v>0</v>
      </c>
      <c r="U1137" s="461">
        <v>0</v>
      </c>
      <c r="V1137" s="461">
        <v>0</v>
      </c>
    </row>
    <row r="1138" spans="1:22" s="455" customFormat="1" hidden="1">
      <c r="A1138" s="455" t="str">
        <f t="shared" si="34"/>
        <v>16109151101500</v>
      </c>
      <c r="B1138" s="455">
        <f>VLOOKUP(LEFT($C$3:$C$2600,3),Table!$D$2:$E$88,2,FALSE)</f>
        <v>0</v>
      </c>
      <c r="C1138" s="455" t="str">
        <f t="shared" si="35"/>
        <v>9151101500</v>
      </c>
      <c r="D1138" s="455" t="e">
        <f>VLOOKUP(G1138,Table!$G$3:$H$21,2,FALSE)</f>
        <v>#N/A</v>
      </c>
      <c r="E1138" s="452" t="s">
        <v>902</v>
      </c>
      <c r="F1138" s="452" t="s">
        <v>1487</v>
      </c>
      <c r="G1138" s="452" t="s">
        <v>1147</v>
      </c>
      <c r="H1138" s="452" t="s">
        <v>1080</v>
      </c>
      <c r="I1138" s="453" t="s">
        <v>844</v>
      </c>
      <c r="J1138" s="453">
        <v>222.2</v>
      </c>
      <c r="K1138" s="461">
        <v>77</v>
      </c>
      <c r="L1138" s="461">
        <v>71.7</v>
      </c>
      <c r="M1138" s="461">
        <v>73.5</v>
      </c>
      <c r="N1138" s="461">
        <v>0</v>
      </c>
      <c r="O1138" s="461">
        <v>0</v>
      </c>
      <c r="P1138" s="461">
        <v>0</v>
      </c>
      <c r="Q1138" s="461">
        <v>0</v>
      </c>
      <c r="R1138" s="461">
        <v>0</v>
      </c>
      <c r="S1138" s="461">
        <v>0</v>
      </c>
      <c r="T1138" s="461">
        <v>0</v>
      </c>
      <c r="U1138" s="461">
        <v>0</v>
      </c>
      <c r="V1138" s="461">
        <v>0</v>
      </c>
    </row>
    <row r="1139" spans="1:22" s="455" customFormat="1" hidden="1">
      <c r="A1139" s="455" t="str">
        <f t="shared" si="34"/>
        <v>16109151101600</v>
      </c>
      <c r="B1139" s="455">
        <f>VLOOKUP(LEFT($C$3:$C$2600,3),Table!$D$2:$E$88,2,FALSE)</f>
        <v>0</v>
      </c>
      <c r="C1139" s="455" t="str">
        <f t="shared" si="35"/>
        <v>9151101600</v>
      </c>
      <c r="D1139" s="455" t="e">
        <f>VLOOKUP(G1139,Table!$G$3:$H$21,2,FALSE)</f>
        <v>#N/A</v>
      </c>
      <c r="E1139" s="452" t="s">
        <v>902</v>
      </c>
      <c r="F1139" s="452" t="s">
        <v>1487</v>
      </c>
      <c r="G1139" s="452" t="s">
        <v>1148</v>
      </c>
      <c r="H1139" s="452" t="s">
        <v>1082</v>
      </c>
      <c r="I1139" s="453" t="s">
        <v>844</v>
      </c>
      <c r="J1139" s="453">
        <v>2418.66</v>
      </c>
      <c r="K1139" s="461">
        <v>806.22</v>
      </c>
      <c r="L1139" s="461">
        <v>806.22</v>
      </c>
      <c r="M1139" s="461">
        <v>806.22</v>
      </c>
      <c r="N1139" s="461">
        <v>0</v>
      </c>
      <c r="O1139" s="461">
        <v>0</v>
      </c>
      <c r="P1139" s="461">
        <v>0</v>
      </c>
      <c r="Q1139" s="461">
        <v>0</v>
      </c>
      <c r="R1139" s="461">
        <v>0</v>
      </c>
      <c r="S1139" s="461">
        <v>0</v>
      </c>
      <c r="T1139" s="461">
        <v>0</v>
      </c>
      <c r="U1139" s="461">
        <v>0</v>
      </c>
      <c r="V1139" s="461">
        <v>0</v>
      </c>
    </row>
    <row r="1140" spans="1:22" s="455" customFormat="1" hidden="1">
      <c r="A1140" s="455" t="str">
        <f t="shared" si="34"/>
        <v>16109151101700</v>
      </c>
      <c r="B1140" s="455">
        <f>VLOOKUP(LEFT($C$3:$C$2600,3),Table!$D$2:$E$88,2,FALSE)</f>
        <v>0</v>
      </c>
      <c r="C1140" s="455" t="str">
        <f t="shared" si="35"/>
        <v>9151101700</v>
      </c>
      <c r="D1140" s="455" t="e">
        <f>VLOOKUP(G1140,Table!$G$3:$H$21,2,FALSE)</f>
        <v>#N/A</v>
      </c>
      <c r="E1140" s="452" t="s">
        <v>902</v>
      </c>
      <c r="F1140" s="452" t="s">
        <v>1487</v>
      </c>
      <c r="G1140" s="452" t="s">
        <v>1149</v>
      </c>
      <c r="H1140" s="452" t="s">
        <v>1084</v>
      </c>
      <c r="I1140" s="453" t="s">
        <v>844</v>
      </c>
      <c r="J1140" s="453">
        <v>-2644.65</v>
      </c>
      <c r="K1140" s="461">
        <v>425.46</v>
      </c>
      <c r="L1140" s="461">
        <v>37.96</v>
      </c>
      <c r="M1140" s="461">
        <v>114.85</v>
      </c>
      <c r="N1140" s="461">
        <v>0</v>
      </c>
      <c r="O1140" s="461">
        <v>0</v>
      </c>
      <c r="P1140" s="461">
        <v>0</v>
      </c>
      <c r="Q1140" s="461">
        <v>0</v>
      </c>
      <c r="R1140" s="461">
        <v>0</v>
      </c>
      <c r="S1140" s="461">
        <v>0</v>
      </c>
      <c r="T1140" s="461">
        <v>0</v>
      </c>
      <c r="U1140" s="461">
        <v>0</v>
      </c>
      <c r="V1140" s="461">
        <v>0</v>
      </c>
    </row>
    <row r="1141" spans="1:22" s="455" customFormat="1" hidden="1">
      <c r="A1141" s="455" t="str">
        <f t="shared" si="34"/>
        <v>16109151101800</v>
      </c>
      <c r="B1141" s="455">
        <f>VLOOKUP(LEFT($C$3:$C$2600,3),Table!$D$2:$E$88,2,FALSE)</f>
        <v>0</v>
      </c>
      <c r="C1141" s="455" t="str">
        <f t="shared" si="35"/>
        <v>9151101800</v>
      </c>
      <c r="D1141" s="455" t="e">
        <f>VLOOKUP(G1141,Table!$G$3:$H$21,2,FALSE)</f>
        <v>#N/A</v>
      </c>
      <c r="E1141" s="452" t="s">
        <v>902</v>
      </c>
      <c r="F1141" s="452" t="s">
        <v>1487</v>
      </c>
      <c r="G1141" s="452" t="s">
        <v>1150</v>
      </c>
      <c r="H1141" s="452" t="s">
        <v>1086</v>
      </c>
      <c r="I1141" s="453" t="s">
        <v>844</v>
      </c>
      <c r="J1141" s="453">
        <v>1273.2</v>
      </c>
      <c r="K1141" s="461">
        <v>472.9</v>
      </c>
      <c r="L1141" s="461">
        <v>418.6</v>
      </c>
      <c r="M1141" s="461">
        <v>381.7</v>
      </c>
      <c r="N1141" s="461">
        <v>0</v>
      </c>
      <c r="O1141" s="461">
        <v>0</v>
      </c>
      <c r="P1141" s="461">
        <v>0</v>
      </c>
      <c r="Q1141" s="461">
        <v>0</v>
      </c>
      <c r="R1141" s="461">
        <v>0</v>
      </c>
      <c r="S1141" s="461">
        <v>0</v>
      </c>
      <c r="T1141" s="461">
        <v>0</v>
      </c>
      <c r="U1141" s="461">
        <v>0</v>
      </c>
      <c r="V1141" s="461">
        <v>0</v>
      </c>
    </row>
    <row r="1142" spans="1:22" s="455" customFormat="1" hidden="1">
      <c r="A1142" s="455" t="str">
        <f t="shared" si="34"/>
        <v>16109151101900</v>
      </c>
      <c r="B1142" s="455">
        <f>VLOOKUP(LEFT($C$3:$C$2600,3),Table!$D$2:$E$88,2,FALSE)</f>
        <v>0</v>
      </c>
      <c r="C1142" s="455" t="str">
        <f t="shared" si="35"/>
        <v>9151101900</v>
      </c>
      <c r="D1142" s="455" t="e">
        <f>VLOOKUP(G1142,Table!$G$3:$H$21,2,FALSE)</f>
        <v>#N/A</v>
      </c>
      <c r="E1142" s="452" t="s">
        <v>902</v>
      </c>
      <c r="F1142" s="452" t="s">
        <v>1487</v>
      </c>
      <c r="G1142" s="452" t="s">
        <v>1151</v>
      </c>
      <c r="H1142" s="452" t="s">
        <v>1088</v>
      </c>
      <c r="I1142" s="453" t="s">
        <v>844</v>
      </c>
      <c r="J1142" s="453">
        <v>105.2</v>
      </c>
      <c r="K1142" s="461">
        <v>34.81</v>
      </c>
      <c r="L1142" s="461">
        <v>34.4</v>
      </c>
      <c r="M1142" s="461">
        <v>35.99</v>
      </c>
      <c r="N1142" s="461">
        <v>0</v>
      </c>
      <c r="O1142" s="461">
        <v>0</v>
      </c>
      <c r="P1142" s="461">
        <v>0</v>
      </c>
      <c r="Q1142" s="461">
        <v>0</v>
      </c>
      <c r="R1142" s="461">
        <v>0</v>
      </c>
      <c r="S1142" s="461">
        <v>0</v>
      </c>
      <c r="T1142" s="461">
        <v>0</v>
      </c>
      <c r="U1142" s="461">
        <v>0</v>
      </c>
      <c r="V1142" s="461">
        <v>0</v>
      </c>
    </row>
    <row r="1143" spans="1:22" s="455" customFormat="1" hidden="1">
      <c r="A1143" s="455" t="str">
        <f t="shared" si="34"/>
        <v>16109151302500</v>
      </c>
      <c r="B1143" s="455">
        <f>VLOOKUP(LEFT($C$3:$C$2600,3),Table!$D$2:$E$88,2,FALSE)</f>
        <v>0</v>
      </c>
      <c r="C1143" s="455" t="str">
        <f t="shared" si="35"/>
        <v>9151302500</v>
      </c>
      <c r="D1143" s="455" t="e">
        <f>VLOOKUP(G1143,Table!$G$3:$H$21,2,FALSE)</f>
        <v>#N/A</v>
      </c>
      <c r="E1143" s="452" t="s">
        <v>902</v>
      </c>
      <c r="F1143" s="452" t="s">
        <v>1487</v>
      </c>
      <c r="G1143" s="452" t="s">
        <v>1154</v>
      </c>
      <c r="H1143" s="452" t="s">
        <v>1155</v>
      </c>
      <c r="I1143" s="453" t="s">
        <v>844</v>
      </c>
      <c r="J1143" s="453">
        <v>79.8</v>
      </c>
      <c r="K1143" s="461">
        <v>0</v>
      </c>
      <c r="L1143" s="461">
        <v>79.8</v>
      </c>
      <c r="M1143" s="461">
        <v>0</v>
      </c>
      <c r="N1143" s="461">
        <v>0</v>
      </c>
      <c r="O1143" s="461">
        <v>0</v>
      </c>
      <c r="P1143" s="461">
        <v>0</v>
      </c>
      <c r="Q1143" s="461">
        <v>0</v>
      </c>
      <c r="R1143" s="461">
        <v>0</v>
      </c>
      <c r="S1143" s="461">
        <v>0</v>
      </c>
      <c r="T1143" s="461">
        <v>0</v>
      </c>
      <c r="U1143" s="461">
        <v>0</v>
      </c>
      <c r="V1143" s="461">
        <v>0</v>
      </c>
    </row>
    <row r="1144" spans="1:22" s="455" customFormat="1" hidden="1">
      <c r="A1144" s="455" t="str">
        <f t="shared" si="34"/>
        <v>16109151601001</v>
      </c>
      <c r="B1144" s="455">
        <f>VLOOKUP(LEFT($C$3:$C$2600,3),Table!$D$2:$E$88,2,FALSE)</f>
        <v>0</v>
      </c>
      <c r="C1144" s="455" t="str">
        <f t="shared" si="35"/>
        <v>9151601001</v>
      </c>
      <c r="D1144" s="455" t="e">
        <f>VLOOKUP(G1144,Table!$G$3:$H$21,2,FALSE)</f>
        <v>#N/A</v>
      </c>
      <c r="E1144" s="452" t="s">
        <v>902</v>
      </c>
      <c r="F1144" s="452" t="s">
        <v>1487</v>
      </c>
      <c r="G1144" s="452" t="s">
        <v>1015</v>
      </c>
      <c r="H1144" s="452" t="s">
        <v>1016</v>
      </c>
      <c r="I1144" s="453" t="s">
        <v>844</v>
      </c>
      <c r="J1144" s="453">
        <v>136</v>
      </c>
      <c r="K1144" s="461">
        <v>25.5</v>
      </c>
      <c r="L1144" s="461">
        <v>25.5</v>
      </c>
      <c r="M1144" s="461">
        <v>85</v>
      </c>
      <c r="N1144" s="461">
        <v>0</v>
      </c>
      <c r="O1144" s="461">
        <v>0</v>
      </c>
      <c r="P1144" s="461">
        <v>0</v>
      </c>
      <c r="Q1144" s="461">
        <v>0</v>
      </c>
      <c r="R1144" s="461">
        <v>0</v>
      </c>
      <c r="S1144" s="461">
        <v>0</v>
      </c>
      <c r="T1144" s="461">
        <v>0</v>
      </c>
      <c r="U1144" s="461">
        <v>0</v>
      </c>
      <c r="V1144" s="461">
        <v>0</v>
      </c>
    </row>
    <row r="1145" spans="1:22" s="455" customFormat="1" hidden="1">
      <c r="A1145" s="455" t="str">
        <f t="shared" si="34"/>
        <v>16109152020212</v>
      </c>
      <c r="B1145" s="455">
        <f>VLOOKUP(LEFT($C$3:$C$2600,3),Table!$D$2:$E$88,2,FALSE)</f>
        <v>0</v>
      </c>
      <c r="C1145" s="455" t="str">
        <f t="shared" si="35"/>
        <v>9152020212</v>
      </c>
      <c r="D1145" s="455" t="e">
        <f>VLOOKUP(G1145,Table!$G$3:$H$21,2,FALSE)</f>
        <v>#N/A</v>
      </c>
      <c r="E1145" s="452" t="s">
        <v>902</v>
      </c>
      <c r="F1145" s="452" t="s">
        <v>1487</v>
      </c>
      <c r="G1145" s="452" t="s">
        <v>1023</v>
      </c>
      <c r="H1145" s="452" t="s">
        <v>1024</v>
      </c>
      <c r="I1145" s="453" t="s">
        <v>844</v>
      </c>
      <c r="J1145" s="453">
        <v>390</v>
      </c>
      <c r="K1145" s="461">
        <v>0</v>
      </c>
      <c r="L1145" s="461">
        <v>390</v>
      </c>
      <c r="M1145" s="461">
        <v>0</v>
      </c>
      <c r="N1145" s="461">
        <v>0</v>
      </c>
      <c r="O1145" s="461">
        <v>0</v>
      </c>
      <c r="P1145" s="461">
        <v>0</v>
      </c>
      <c r="Q1145" s="461">
        <v>0</v>
      </c>
      <c r="R1145" s="461">
        <v>0</v>
      </c>
      <c r="S1145" s="461">
        <v>0</v>
      </c>
      <c r="T1145" s="461">
        <v>0</v>
      </c>
      <c r="U1145" s="461">
        <v>0</v>
      </c>
      <c r="V1145" s="461">
        <v>0</v>
      </c>
    </row>
    <row r="1146" spans="1:22" s="455" customFormat="1" hidden="1">
      <c r="A1146" s="455" t="str">
        <f t="shared" si="34"/>
        <v>16109152020822</v>
      </c>
      <c r="B1146" s="455">
        <f>VLOOKUP(LEFT($C$3:$C$2600,3),Table!$D$2:$E$88,2,FALSE)</f>
        <v>0</v>
      </c>
      <c r="C1146" s="455" t="str">
        <f t="shared" si="35"/>
        <v>9152020822</v>
      </c>
      <c r="D1146" s="455" t="e">
        <f>VLOOKUP(G1146,Table!$G$3:$H$21,2,FALSE)</f>
        <v>#N/A</v>
      </c>
      <c r="E1146" s="452" t="s">
        <v>902</v>
      </c>
      <c r="F1146" s="452" t="s">
        <v>1487</v>
      </c>
      <c r="G1146" s="452" t="s">
        <v>1488</v>
      </c>
      <c r="H1146" s="452" t="s">
        <v>1489</v>
      </c>
      <c r="I1146" s="453" t="s">
        <v>844</v>
      </c>
      <c r="J1146" s="453">
        <v>933</v>
      </c>
      <c r="K1146" s="461">
        <v>0</v>
      </c>
      <c r="L1146" s="461">
        <v>0</v>
      </c>
      <c r="M1146" s="461">
        <v>933</v>
      </c>
      <c r="N1146" s="461">
        <v>0</v>
      </c>
      <c r="O1146" s="461">
        <v>0</v>
      </c>
      <c r="P1146" s="461">
        <v>0</v>
      </c>
      <c r="Q1146" s="461">
        <v>0</v>
      </c>
      <c r="R1146" s="461">
        <v>0</v>
      </c>
      <c r="S1146" s="461">
        <v>0</v>
      </c>
      <c r="T1146" s="461">
        <v>0</v>
      </c>
      <c r="U1146" s="461">
        <v>0</v>
      </c>
      <c r="V1146" s="461">
        <v>0</v>
      </c>
    </row>
    <row r="1147" spans="1:22" s="455" customFormat="1" hidden="1">
      <c r="A1147" s="455" t="str">
        <f t="shared" si="34"/>
        <v>16109152023011</v>
      </c>
      <c r="B1147" s="455">
        <f>VLOOKUP(LEFT($C$3:$C$2600,3),Table!$D$2:$E$88,2,FALSE)</f>
        <v>0</v>
      </c>
      <c r="C1147" s="455" t="str">
        <f t="shared" si="35"/>
        <v>9152023011</v>
      </c>
      <c r="D1147" s="455" t="e">
        <f>VLOOKUP(G1147,Table!$G$3:$H$21,2,FALSE)</f>
        <v>#N/A</v>
      </c>
      <c r="E1147" s="452" t="s">
        <v>902</v>
      </c>
      <c r="F1147" s="452" t="s">
        <v>1487</v>
      </c>
      <c r="G1147" s="452" t="s">
        <v>1027</v>
      </c>
      <c r="H1147" s="452" t="s">
        <v>1028</v>
      </c>
      <c r="I1147" s="453" t="s">
        <v>844</v>
      </c>
      <c r="J1147" s="453">
        <v>368</v>
      </c>
      <c r="K1147" s="461">
        <v>0</v>
      </c>
      <c r="L1147" s="461">
        <v>368</v>
      </c>
      <c r="M1147" s="461">
        <v>0</v>
      </c>
      <c r="N1147" s="461">
        <v>0</v>
      </c>
      <c r="O1147" s="461">
        <v>0</v>
      </c>
      <c r="P1147" s="461">
        <v>0</v>
      </c>
      <c r="Q1147" s="461">
        <v>0</v>
      </c>
      <c r="R1147" s="461">
        <v>0</v>
      </c>
      <c r="S1147" s="461">
        <v>0</v>
      </c>
      <c r="T1147" s="461">
        <v>0</v>
      </c>
      <c r="U1147" s="461">
        <v>0</v>
      </c>
      <c r="V1147" s="461">
        <v>0</v>
      </c>
    </row>
    <row r="1148" spans="1:22" s="455" customFormat="1" hidden="1">
      <c r="A1148" s="455" t="str">
        <f t="shared" si="34"/>
        <v>16109152402507</v>
      </c>
      <c r="B1148" s="455">
        <f>VLOOKUP(LEFT($C$3:$C$2600,3),Table!$D$2:$E$88,2,FALSE)</f>
        <v>0</v>
      </c>
      <c r="C1148" s="455" t="str">
        <f t="shared" si="35"/>
        <v>9152402507</v>
      </c>
      <c r="D1148" s="455" t="e">
        <f>VLOOKUP(G1148,Table!$G$3:$H$21,2,FALSE)</f>
        <v>#N/A</v>
      </c>
      <c r="E1148" s="452" t="s">
        <v>902</v>
      </c>
      <c r="F1148" s="452" t="s">
        <v>1487</v>
      </c>
      <c r="G1148" s="452" t="s">
        <v>1490</v>
      </c>
      <c r="H1148" s="452" t="s">
        <v>1491</v>
      </c>
      <c r="I1148" s="453" t="s">
        <v>844</v>
      </c>
      <c r="J1148" s="453">
        <v>11890</v>
      </c>
      <c r="K1148" s="461">
        <v>3050</v>
      </c>
      <c r="L1148" s="461">
        <v>3050</v>
      </c>
      <c r="M1148" s="461">
        <v>2570</v>
      </c>
      <c r="N1148" s="461">
        <v>0</v>
      </c>
      <c r="O1148" s="461">
        <v>0</v>
      </c>
      <c r="P1148" s="461">
        <v>0</v>
      </c>
      <c r="Q1148" s="461">
        <v>0</v>
      </c>
      <c r="R1148" s="461">
        <v>0</v>
      </c>
      <c r="S1148" s="461">
        <v>0</v>
      </c>
      <c r="T1148" s="461">
        <v>0</v>
      </c>
      <c r="U1148" s="461">
        <v>0</v>
      </c>
      <c r="V1148" s="461">
        <v>0</v>
      </c>
    </row>
    <row r="1149" spans="1:22" s="455" customFormat="1" hidden="1">
      <c r="A1149" s="455" t="str">
        <f t="shared" si="34"/>
        <v>16109152402518</v>
      </c>
      <c r="B1149" s="455">
        <f>VLOOKUP(LEFT($C$3:$C$2600,3),Table!$D$2:$E$88,2,FALSE)</f>
        <v>0</v>
      </c>
      <c r="C1149" s="455" t="str">
        <f t="shared" si="35"/>
        <v>9152402518</v>
      </c>
      <c r="D1149" s="455" t="e">
        <f>VLOOKUP(G1149,Table!$G$3:$H$21,2,FALSE)</f>
        <v>#N/A</v>
      </c>
      <c r="E1149" s="452" t="s">
        <v>902</v>
      </c>
      <c r="F1149" s="452" t="s">
        <v>1487</v>
      </c>
      <c r="G1149" s="452" t="s">
        <v>2556</v>
      </c>
      <c r="H1149" s="452" t="s">
        <v>2557</v>
      </c>
      <c r="I1149" s="453" t="s">
        <v>844</v>
      </c>
      <c r="J1149" s="453">
        <v>-2800</v>
      </c>
      <c r="K1149" s="461">
        <v>0</v>
      </c>
      <c r="L1149" s="461">
        <v>0</v>
      </c>
      <c r="M1149" s="461">
        <v>-2800</v>
      </c>
      <c r="N1149" s="461">
        <v>0</v>
      </c>
      <c r="O1149" s="461">
        <v>0</v>
      </c>
      <c r="P1149" s="461">
        <v>0</v>
      </c>
      <c r="Q1149" s="461">
        <v>0</v>
      </c>
      <c r="R1149" s="461">
        <v>0</v>
      </c>
      <c r="S1149" s="461">
        <v>0</v>
      </c>
      <c r="T1149" s="461">
        <v>0</v>
      </c>
      <c r="U1149" s="461">
        <v>0</v>
      </c>
      <c r="V1149" s="461">
        <v>0</v>
      </c>
    </row>
    <row r="1150" spans="1:22" s="455" customFormat="1" hidden="1">
      <c r="A1150" s="455" t="str">
        <f t="shared" si="34"/>
        <v>16109153001000</v>
      </c>
      <c r="B1150" s="455">
        <f>VLOOKUP(LEFT($C$3:$C$2600,3),Table!$D$2:$E$88,2,FALSE)</f>
        <v>0</v>
      </c>
      <c r="C1150" s="455" t="str">
        <f t="shared" si="35"/>
        <v>9153001000</v>
      </c>
      <c r="D1150" s="455" t="e">
        <f>VLOOKUP(G1150,Table!$G$3:$H$21,2,FALSE)</f>
        <v>#N/A</v>
      </c>
      <c r="E1150" s="452" t="s">
        <v>902</v>
      </c>
      <c r="F1150" s="452" t="s">
        <v>1487</v>
      </c>
      <c r="G1150" s="452" t="s">
        <v>1043</v>
      </c>
      <c r="H1150" s="452" t="s">
        <v>1044</v>
      </c>
      <c r="I1150" s="453" t="s">
        <v>844</v>
      </c>
      <c r="J1150" s="453">
        <v>669</v>
      </c>
      <c r="K1150" s="461">
        <v>223</v>
      </c>
      <c r="L1150" s="461">
        <v>223</v>
      </c>
      <c r="M1150" s="461">
        <v>223</v>
      </c>
      <c r="N1150" s="461">
        <v>0</v>
      </c>
      <c r="O1150" s="461">
        <v>0</v>
      </c>
      <c r="P1150" s="461">
        <v>0</v>
      </c>
      <c r="Q1150" s="461">
        <v>0</v>
      </c>
      <c r="R1150" s="461">
        <v>0</v>
      </c>
      <c r="S1150" s="461">
        <v>0</v>
      </c>
      <c r="T1150" s="461">
        <v>0</v>
      </c>
      <c r="U1150" s="461">
        <v>0</v>
      </c>
      <c r="V1150" s="461">
        <v>0</v>
      </c>
    </row>
    <row r="1151" spans="1:22" s="455" customFormat="1" hidden="1">
      <c r="A1151" s="455" t="str">
        <f t="shared" si="34"/>
        <v>18005302403400</v>
      </c>
      <c r="B1151" s="455" t="str">
        <f>VLOOKUP(LEFT($C$3:$C$2600,3),Table!$D$2:$E$88,2,FALSE)</f>
        <v>Selling &amp; admin expenses</v>
      </c>
      <c r="C1151" s="455" t="str">
        <f t="shared" si="35"/>
        <v>5302403400</v>
      </c>
      <c r="D1151" s="455" t="e">
        <f>VLOOKUP(G1151,Table!$G$3:$H$21,2,FALSE)</f>
        <v>#N/A</v>
      </c>
      <c r="E1151" s="452" t="s">
        <v>902</v>
      </c>
      <c r="F1151" s="452" t="s">
        <v>1492</v>
      </c>
      <c r="G1151" s="452" t="s">
        <v>1493</v>
      </c>
      <c r="H1151" s="452" t="s">
        <v>1494</v>
      </c>
      <c r="I1151" s="453" t="s">
        <v>844</v>
      </c>
      <c r="J1151" s="453">
        <v>7732.5</v>
      </c>
      <c r="K1151" s="461">
        <v>2235</v>
      </c>
      <c r="L1151" s="461">
        <v>2310</v>
      </c>
      <c r="M1151" s="461">
        <v>2325</v>
      </c>
      <c r="N1151" s="461">
        <v>0</v>
      </c>
      <c r="O1151" s="461">
        <v>0</v>
      </c>
      <c r="P1151" s="461">
        <v>0</v>
      </c>
      <c r="Q1151" s="461">
        <v>0</v>
      </c>
      <c r="R1151" s="461">
        <v>0</v>
      </c>
      <c r="S1151" s="461">
        <v>0</v>
      </c>
      <c r="T1151" s="461">
        <v>0</v>
      </c>
      <c r="U1151" s="461">
        <v>0</v>
      </c>
      <c r="V1151" s="461">
        <v>0</v>
      </c>
    </row>
    <row r="1152" spans="1:22" s="455" customFormat="1" hidden="1">
      <c r="A1152" s="455" t="str">
        <f t="shared" si="34"/>
        <v>18005302501110</v>
      </c>
      <c r="B1152" s="455" t="str">
        <f>VLOOKUP(LEFT($C$3:$C$2600,3),Table!$D$2:$E$88,2,FALSE)</f>
        <v>Selling &amp; admin expenses</v>
      </c>
      <c r="C1152" s="455" t="str">
        <f t="shared" si="35"/>
        <v>5302501110</v>
      </c>
      <c r="D1152" s="455" t="e">
        <f>VLOOKUP(G1152,Table!$G$3:$H$21,2,FALSE)</f>
        <v>#N/A</v>
      </c>
      <c r="E1152" s="452" t="s">
        <v>902</v>
      </c>
      <c r="F1152" s="452" t="s">
        <v>1492</v>
      </c>
      <c r="G1152" s="452" t="s">
        <v>1495</v>
      </c>
      <c r="H1152" s="452" t="s">
        <v>1496</v>
      </c>
      <c r="I1152" s="453" t="s">
        <v>844</v>
      </c>
      <c r="J1152" s="453">
        <v>118025</v>
      </c>
      <c r="K1152" s="461">
        <v>0</v>
      </c>
      <c r="L1152" s="461">
        <v>101700</v>
      </c>
      <c r="M1152" s="461">
        <v>16325</v>
      </c>
      <c r="N1152" s="461">
        <v>0</v>
      </c>
      <c r="O1152" s="461">
        <v>0</v>
      </c>
      <c r="P1152" s="461">
        <v>0</v>
      </c>
      <c r="Q1152" s="461">
        <v>0</v>
      </c>
      <c r="R1152" s="461">
        <v>0</v>
      </c>
      <c r="S1152" s="461">
        <v>0</v>
      </c>
      <c r="T1152" s="461">
        <v>0</v>
      </c>
      <c r="U1152" s="461">
        <v>0</v>
      </c>
      <c r="V1152" s="461">
        <v>0</v>
      </c>
    </row>
    <row r="1153" spans="1:22" s="455" customFormat="1" hidden="1">
      <c r="A1153" s="455" t="str">
        <f t="shared" si="34"/>
        <v>18005302501200</v>
      </c>
      <c r="B1153" s="455" t="str">
        <f>VLOOKUP(LEFT($C$3:$C$2600,3),Table!$D$2:$E$88,2,FALSE)</f>
        <v>Selling &amp; admin expenses</v>
      </c>
      <c r="C1153" s="455" t="str">
        <f t="shared" si="35"/>
        <v>5302501200</v>
      </c>
      <c r="D1153" s="455" t="e">
        <f>VLOOKUP(G1153,Table!$G$3:$H$21,2,FALSE)</f>
        <v>#N/A</v>
      </c>
      <c r="E1153" s="452" t="s">
        <v>902</v>
      </c>
      <c r="F1153" s="452" t="s">
        <v>1492</v>
      </c>
      <c r="G1153" s="452" t="s">
        <v>1497</v>
      </c>
      <c r="H1153" s="452" t="s">
        <v>1498</v>
      </c>
      <c r="I1153" s="453" t="s">
        <v>844</v>
      </c>
      <c r="J1153" s="453">
        <v>8132</v>
      </c>
      <c r="K1153" s="461">
        <v>2600</v>
      </c>
      <c r="L1153" s="461">
        <v>2766</v>
      </c>
      <c r="M1153" s="461">
        <v>2766</v>
      </c>
      <c r="N1153" s="461">
        <v>0</v>
      </c>
      <c r="O1153" s="461">
        <v>0</v>
      </c>
      <c r="P1153" s="461">
        <v>0</v>
      </c>
      <c r="Q1153" s="461">
        <v>0</v>
      </c>
      <c r="R1153" s="461">
        <v>0</v>
      </c>
      <c r="S1153" s="461">
        <v>0</v>
      </c>
      <c r="T1153" s="461">
        <v>0</v>
      </c>
      <c r="U1153" s="461">
        <v>0</v>
      </c>
      <c r="V1153" s="461">
        <v>0</v>
      </c>
    </row>
    <row r="1154" spans="1:22" s="455" customFormat="1" hidden="1">
      <c r="A1154" s="455" t="str">
        <f t="shared" si="34"/>
        <v>18005302501400</v>
      </c>
      <c r="B1154" s="455" t="str">
        <f>VLOOKUP(LEFT($C$3:$C$2600,3),Table!$D$2:$E$88,2,FALSE)</f>
        <v>Selling &amp; admin expenses</v>
      </c>
      <c r="C1154" s="455" t="str">
        <f t="shared" si="35"/>
        <v>5302501400</v>
      </c>
      <c r="D1154" s="455" t="e">
        <f>VLOOKUP(G1154,Table!$G$3:$H$21,2,FALSE)</f>
        <v>#N/A</v>
      </c>
      <c r="E1154" s="452" t="s">
        <v>902</v>
      </c>
      <c r="F1154" s="452" t="s">
        <v>1492</v>
      </c>
      <c r="G1154" s="452" t="s">
        <v>1499</v>
      </c>
      <c r="H1154" s="452" t="s">
        <v>1500</v>
      </c>
      <c r="I1154" s="453" t="s">
        <v>844</v>
      </c>
      <c r="J1154" s="453">
        <v>12514.6</v>
      </c>
      <c r="K1154" s="461">
        <v>0</v>
      </c>
      <c r="L1154" s="461">
        <v>3029.6</v>
      </c>
      <c r="M1154" s="461">
        <v>6485</v>
      </c>
      <c r="N1154" s="461">
        <v>0</v>
      </c>
      <c r="O1154" s="461">
        <v>0</v>
      </c>
      <c r="P1154" s="461">
        <v>0</v>
      </c>
      <c r="Q1154" s="461">
        <v>0</v>
      </c>
      <c r="R1154" s="461">
        <v>0</v>
      </c>
      <c r="S1154" s="461">
        <v>0</v>
      </c>
      <c r="T1154" s="461">
        <v>0</v>
      </c>
      <c r="U1154" s="461">
        <v>0</v>
      </c>
      <c r="V1154" s="461">
        <v>0</v>
      </c>
    </row>
    <row r="1155" spans="1:22" s="455" customFormat="1" hidden="1">
      <c r="A1155" s="455" t="str">
        <f t="shared" si="34"/>
        <v>18005302501610</v>
      </c>
      <c r="B1155" s="455" t="str">
        <f>VLOOKUP(LEFT($C$3:$C$2600,3),Table!$D$2:$E$88,2,FALSE)</f>
        <v>Selling &amp; admin expenses</v>
      </c>
      <c r="C1155" s="455" t="str">
        <f t="shared" si="35"/>
        <v>5302501610</v>
      </c>
      <c r="D1155" s="455" t="e">
        <f>VLOOKUP(G1155,Table!$G$3:$H$21,2,FALSE)</f>
        <v>#N/A</v>
      </c>
      <c r="E1155" s="452" t="s">
        <v>902</v>
      </c>
      <c r="F1155" s="452" t="s">
        <v>1492</v>
      </c>
      <c r="G1155" s="452" t="s">
        <v>1501</v>
      </c>
      <c r="H1155" s="452" t="s">
        <v>1502</v>
      </c>
      <c r="I1155" s="453" t="s">
        <v>844</v>
      </c>
      <c r="J1155" s="453">
        <v>3600</v>
      </c>
      <c r="K1155" s="461">
        <v>1200</v>
      </c>
      <c r="L1155" s="461">
        <v>1200</v>
      </c>
      <c r="M1155" s="461">
        <v>1200</v>
      </c>
      <c r="N1155" s="461">
        <v>0</v>
      </c>
      <c r="O1155" s="461">
        <v>0</v>
      </c>
      <c r="P1155" s="461">
        <v>0</v>
      </c>
      <c r="Q1155" s="461">
        <v>0</v>
      </c>
      <c r="R1155" s="461">
        <v>0</v>
      </c>
      <c r="S1155" s="461">
        <v>0</v>
      </c>
      <c r="T1155" s="461">
        <v>0</v>
      </c>
      <c r="U1155" s="461">
        <v>0</v>
      </c>
      <c r="V1155" s="461">
        <v>0</v>
      </c>
    </row>
    <row r="1156" spans="1:22" s="455" customFormat="1" hidden="1">
      <c r="A1156" s="455" t="str">
        <f t="shared" ref="A1156:A1219" si="36">F1156&amp;G1156</f>
        <v>18005302901200</v>
      </c>
      <c r="B1156" s="455" t="str">
        <f>VLOOKUP(LEFT($C$3:$C$2600,3),Table!$D$2:$E$88,2,FALSE)</f>
        <v>Selling &amp; admin expenses</v>
      </c>
      <c r="C1156" s="455" t="str">
        <f t="shared" ref="C1156:C1219" si="37">IF(ISNA(D1156),G1156,D1156)</f>
        <v>5302901200</v>
      </c>
      <c r="D1156" s="455" t="e">
        <f>VLOOKUP(G1156,Table!$G$3:$H$21,2,FALSE)</f>
        <v>#N/A</v>
      </c>
      <c r="E1156" s="452" t="s">
        <v>902</v>
      </c>
      <c r="F1156" s="452" t="s">
        <v>1492</v>
      </c>
      <c r="G1156" s="452" t="s">
        <v>1503</v>
      </c>
      <c r="H1156" s="452" t="s">
        <v>1504</v>
      </c>
      <c r="I1156" s="453" t="s">
        <v>844</v>
      </c>
      <c r="J1156" s="453">
        <v>2980</v>
      </c>
      <c r="K1156" s="461">
        <v>0</v>
      </c>
      <c r="L1156" s="461">
        <v>0</v>
      </c>
      <c r="M1156" s="461">
        <v>2980</v>
      </c>
      <c r="N1156" s="461">
        <v>0</v>
      </c>
      <c r="O1156" s="461">
        <v>0</v>
      </c>
      <c r="P1156" s="461">
        <v>0</v>
      </c>
      <c r="Q1156" s="461">
        <v>0</v>
      </c>
      <c r="R1156" s="461">
        <v>0</v>
      </c>
      <c r="S1156" s="461">
        <v>0</v>
      </c>
      <c r="T1156" s="461">
        <v>0</v>
      </c>
      <c r="U1156" s="461">
        <v>0</v>
      </c>
      <c r="V1156" s="461">
        <v>0</v>
      </c>
    </row>
    <row r="1157" spans="1:22" s="455" customFormat="1" hidden="1">
      <c r="A1157" s="455" t="str">
        <f t="shared" si="36"/>
        <v>18005303001100</v>
      </c>
      <c r="B1157" s="455" t="str">
        <f>VLOOKUP(LEFT($C$3:$C$2600,3),Table!$D$2:$E$88,2,FALSE)</f>
        <v>Selling &amp; admin expenses</v>
      </c>
      <c r="C1157" s="455" t="str">
        <f t="shared" si="37"/>
        <v>5303001100</v>
      </c>
      <c r="D1157" s="455" t="e">
        <f>VLOOKUP(G1157,Table!$G$3:$H$21,2,FALSE)</f>
        <v>#N/A</v>
      </c>
      <c r="E1157" s="452" t="s">
        <v>902</v>
      </c>
      <c r="F1157" s="452" t="s">
        <v>1492</v>
      </c>
      <c r="G1157" s="452" t="s">
        <v>1505</v>
      </c>
      <c r="H1157" s="452" t="s">
        <v>1506</v>
      </c>
      <c r="I1157" s="453" t="s">
        <v>844</v>
      </c>
      <c r="J1157" s="453">
        <v>17703</v>
      </c>
      <c r="K1157" s="461">
        <v>5901</v>
      </c>
      <c r="L1157" s="461">
        <v>5901</v>
      </c>
      <c r="M1157" s="461">
        <v>5901</v>
      </c>
      <c r="N1157" s="461">
        <v>0</v>
      </c>
      <c r="O1157" s="461">
        <v>0</v>
      </c>
      <c r="P1157" s="461">
        <v>0</v>
      </c>
      <c r="Q1157" s="461">
        <v>0</v>
      </c>
      <c r="R1157" s="461">
        <v>0</v>
      </c>
      <c r="S1157" s="461">
        <v>0</v>
      </c>
      <c r="T1157" s="461">
        <v>0</v>
      </c>
      <c r="U1157" s="461">
        <v>0</v>
      </c>
      <c r="V1157" s="461">
        <v>0</v>
      </c>
    </row>
    <row r="1158" spans="1:22" s="455" customFormat="1" hidden="1">
      <c r="A1158" s="455" t="str">
        <f t="shared" si="36"/>
        <v>18005303001200</v>
      </c>
      <c r="B1158" s="455" t="str">
        <f>VLOOKUP(LEFT($C$3:$C$2600,3),Table!$D$2:$E$88,2,FALSE)</f>
        <v>Selling &amp; admin expenses</v>
      </c>
      <c r="C1158" s="455" t="str">
        <f t="shared" si="37"/>
        <v>5303001200</v>
      </c>
      <c r="D1158" s="455" t="e">
        <f>VLOOKUP(G1158,Table!$G$3:$H$21,2,FALSE)</f>
        <v>#N/A</v>
      </c>
      <c r="E1158" s="452" t="s">
        <v>902</v>
      </c>
      <c r="F1158" s="452" t="s">
        <v>1492</v>
      </c>
      <c r="G1158" s="452" t="s">
        <v>1507</v>
      </c>
      <c r="H1158" s="452" t="s">
        <v>1508</v>
      </c>
      <c r="I1158" s="453" t="s">
        <v>844</v>
      </c>
      <c r="J1158" s="453">
        <v>-5898</v>
      </c>
      <c r="K1158" s="461">
        <v>-1966</v>
      </c>
      <c r="L1158" s="461">
        <v>-1966</v>
      </c>
      <c r="M1158" s="461">
        <v>-1966</v>
      </c>
      <c r="N1158" s="461">
        <v>0</v>
      </c>
      <c r="O1158" s="461">
        <v>0</v>
      </c>
      <c r="P1158" s="461">
        <v>0</v>
      </c>
      <c r="Q1158" s="461">
        <v>0</v>
      </c>
      <c r="R1158" s="461">
        <v>0</v>
      </c>
      <c r="S1158" s="461">
        <v>0</v>
      </c>
      <c r="T1158" s="461">
        <v>0</v>
      </c>
      <c r="U1158" s="461">
        <v>0</v>
      </c>
      <c r="V1158" s="461">
        <v>0</v>
      </c>
    </row>
    <row r="1159" spans="1:22" s="455" customFormat="1" hidden="1">
      <c r="A1159" s="455" t="str">
        <f t="shared" si="36"/>
        <v>18005304001000</v>
      </c>
      <c r="B1159" s="455" t="str">
        <f>VLOOKUP(LEFT($C$3:$C$2600,3),Table!$D$2:$E$88,2,FALSE)</f>
        <v>Selling &amp; admin expenses</v>
      </c>
      <c r="C1159" s="455" t="str">
        <f t="shared" si="37"/>
        <v>5304001000</v>
      </c>
      <c r="D1159" s="455" t="e">
        <f>VLOOKUP(G1159,Table!$G$3:$H$21,2,FALSE)</f>
        <v>#N/A</v>
      </c>
      <c r="E1159" s="452" t="s">
        <v>902</v>
      </c>
      <c r="F1159" s="452" t="s">
        <v>1492</v>
      </c>
      <c r="G1159" s="452" t="s">
        <v>1509</v>
      </c>
      <c r="H1159" s="452" t="s">
        <v>1510</v>
      </c>
      <c r="I1159" s="453" t="s">
        <v>844</v>
      </c>
      <c r="J1159" s="453">
        <v>33950</v>
      </c>
      <c r="K1159" s="461">
        <v>11250</v>
      </c>
      <c r="L1159" s="461">
        <v>11350</v>
      </c>
      <c r="M1159" s="461">
        <v>11350</v>
      </c>
      <c r="N1159" s="461">
        <v>0</v>
      </c>
      <c r="O1159" s="461">
        <v>0</v>
      </c>
      <c r="P1159" s="461">
        <v>0</v>
      </c>
      <c r="Q1159" s="461">
        <v>0</v>
      </c>
      <c r="R1159" s="461">
        <v>0</v>
      </c>
      <c r="S1159" s="461">
        <v>0</v>
      </c>
      <c r="T1159" s="461">
        <v>0</v>
      </c>
      <c r="U1159" s="461">
        <v>0</v>
      </c>
      <c r="V1159" s="461">
        <v>0</v>
      </c>
    </row>
    <row r="1160" spans="1:22" s="455" customFormat="1" hidden="1">
      <c r="A1160" s="455" t="str">
        <f t="shared" si="36"/>
        <v>18005304001100</v>
      </c>
      <c r="B1160" s="455" t="str">
        <f>VLOOKUP(LEFT($C$3:$C$2600,3),Table!$D$2:$E$88,2,FALSE)</f>
        <v>Selling &amp; admin expenses</v>
      </c>
      <c r="C1160" s="455" t="str">
        <f t="shared" si="37"/>
        <v>5304001100</v>
      </c>
      <c r="D1160" s="455" t="e">
        <f>VLOOKUP(G1160,Table!$G$3:$H$21,2,FALSE)</f>
        <v>#N/A</v>
      </c>
      <c r="E1160" s="452" t="s">
        <v>902</v>
      </c>
      <c r="F1160" s="452" t="s">
        <v>1492</v>
      </c>
      <c r="G1160" s="452" t="s">
        <v>1511</v>
      </c>
      <c r="H1160" s="452" t="s">
        <v>1512</v>
      </c>
      <c r="I1160" s="453" t="s">
        <v>844</v>
      </c>
      <c r="J1160" s="453">
        <v>1500</v>
      </c>
      <c r="K1160" s="461">
        <v>0</v>
      </c>
      <c r="L1160" s="461">
        <v>1500</v>
      </c>
      <c r="M1160" s="461">
        <v>0</v>
      </c>
      <c r="N1160" s="461">
        <v>0</v>
      </c>
      <c r="O1160" s="461">
        <v>0</v>
      </c>
      <c r="P1160" s="461">
        <v>0</v>
      </c>
      <c r="Q1160" s="461">
        <v>0</v>
      </c>
      <c r="R1160" s="461">
        <v>0</v>
      </c>
      <c r="S1160" s="461">
        <v>0</v>
      </c>
      <c r="T1160" s="461">
        <v>0</v>
      </c>
      <c r="U1160" s="461">
        <v>0</v>
      </c>
      <c r="V1160" s="461">
        <v>0</v>
      </c>
    </row>
    <row r="1161" spans="1:22" s="455" customFormat="1" hidden="1">
      <c r="A1161" s="455" t="str">
        <f t="shared" si="36"/>
        <v>18005308000200</v>
      </c>
      <c r="B1161" s="455" t="str">
        <f>VLOOKUP(LEFT($C$3:$C$2600,3),Table!$D$2:$E$88,2,FALSE)</f>
        <v>Selling &amp; admin expenses</v>
      </c>
      <c r="C1161" s="455" t="str">
        <f t="shared" si="37"/>
        <v>5308000200</v>
      </c>
      <c r="D1161" s="455" t="e">
        <f>VLOOKUP(G1161,Table!$G$3:$H$21,2,FALSE)</f>
        <v>#N/A</v>
      </c>
      <c r="E1161" s="452" t="s">
        <v>902</v>
      </c>
      <c r="F1161" s="452" t="s">
        <v>1492</v>
      </c>
      <c r="G1161" s="452" t="s">
        <v>1513</v>
      </c>
      <c r="H1161" s="452" t="s">
        <v>1514</v>
      </c>
      <c r="I1161" s="453" t="s">
        <v>844</v>
      </c>
      <c r="J1161" s="453">
        <v>-222000</v>
      </c>
      <c r="K1161" s="461">
        <v>-74000</v>
      </c>
      <c r="L1161" s="461">
        <v>-74000</v>
      </c>
      <c r="M1161" s="461">
        <v>-74000</v>
      </c>
      <c r="N1161" s="461">
        <v>0</v>
      </c>
      <c r="O1161" s="461">
        <v>0</v>
      </c>
      <c r="P1161" s="461">
        <v>0</v>
      </c>
      <c r="Q1161" s="461">
        <v>0</v>
      </c>
      <c r="R1161" s="461">
        <v>0</v>
      </c>
      <c r="S1161" s="461">
        <v>0</v>
      </c>
      <c r="T1161" s="461">
        <v>0</v>
      </c>
      <c r="U1161" s="461">
        <v>0</v>
      </c>
      <c r="V1161" s="461">
        <v>0</v>
      </c>
    </row>
    <row r="1162" spans="1:22" s="455" customFormat="1" hidden="1">
      <c r="A1162" s="455" t="str">
        <f t="shared" si="36"/>
        <v>18105300801000</v>
      </c>
      <c r="B1162" s="455" t="str">
        <f>VLOOKUP(LEFT($C$3:$C$2600,3),Table!$D$2:$E$88,2,FALSE)</f>
        <v>Selling &amp; admin expenses</v>
      </c>
      <c r="C1162" s="455" t="str">
        <f t="shared" si="37"/>
        <v>5300801000</v>
      </c>
      <c r="D1162" s="455" t="e">
        <f>VLOOKUP(G1162,Table!$G$3:$H$21,2,FALSE)</f>
        <v>#N/A</v>
      </c>
      <c r="E1162" s="452" t="s">
        <v>902</v>
      </c>
      <c r="F1162" s="452" t="s">
        <v>1515</v>
      </c>
      <c r="G1162" s="452" t="s">
        <v>1516</v>
      </c>
      <c r="H1162" s="452" t="s">
        <v>994</v>
      </c>
      <c r="I1162" s="453" t="s">
        <v>844</v>
      </c>
      <c r="J1162" s="453">
        <v>93555</v>
      </c>
      <c r="K1162" s="461">
        <v>31185</v>
      </c>
      <c r="L1162" s="461">
        <v>31185</v>
      </c>
      <c r="M1162" s="461">
        <v>31185</v>
      </c>
      <c r="N1162" s="461">
        <v>0</v>
      </c>
      <c r="O1162" s="461">
        <v>0</v>
      </c>
      <c r="P1162" s="461">
        <v>0</v>
      </c>
      <c r="Q1162" s="461">
        <v>0</v>
      </c>
      <c r="R1162" s="461">
        <v>0</v>
      </c>
      <c r="S1162" s="461">
        <v>0</v>
      </c>
      <c r="T1162" s="461">
        <v>0</v>
      </c>
      <c r="U1162" s="461">
        <v>0</v>
      </c>
      <c r="V1162" s="461">
        <v>0</v>
      </c>
    </row>
    <row r="1163" spans="1:22" s="455" customFormat="1" hidden="1">
      <c r="A1163" s="455" t="str">
        <f t="shared" si="36"/>
        <v>18105300801400</v>
      </c>
      <c r="B1163" s="455" t="str">
        <f>VLOOKUP(LEFT($C$3:$C$2600,3),Table!$D$2:$E$88,2,FALSE)</f>
        <v>Selling &amp; admin expenses</v>
      </c>
      <c r="C1163" s="455" t="str">
        <f t="shared" si="37"/>
        <v>5300801400</v>
      </c>
      <c r="D1163" s="455" t="e">
        <f>VLOOKUP(G1163,Table!$G$3:$H$21,2,FALSE)</f>
        <v>#N/A</v>
      </c>
      <c r="E1163" s="452" t="s">
        <v>902</v>
      </c>
      <c r="F1163" s="452" t="s">
        <v>1515</v>
      </c>
      <c r="G1163" s="452" t="s">
        <v>1517</v>
      </c>
      <c r="H1163" s="452" t="s">
        <v>998</v>
      </c>
      <c r="I1163" s="453" t="s">
        <v>844</v>
      </c>
      <c r="J1163" s="453">
        <v>14037</v>
      </c>
      <c r="K1163" s="461">
        <v>4679</v>
      </c>
      <c r="L1163" s="461">
        <v>4679</v>
      </c>
      <c r="M1163" s="461">
        <v>4679</v>
      </c>
      <c r="N1163" s="461">
        <v>0</v>
      </c>
      <c r="O1163" s="461">
        <v>0</v>
      </c>
      <c r="P1163" s="461">
        <v>0</v>
      </c>
      <c r="Q1163" s="461">
        <v>0</v>
      </c>
      <c r="R1163" s="461">
        <v>0</v>
      </c>
      <c r="S1163" s="461">
        <v>0</v>
      </c>
      <c r="T1163" s="461">
        <v>0</v>
      </c>
      <c r="U1163" s="461">
        <v>0</v>
      </c>
      <c r="V1163" s="461">
        <v>0</v>
      </c>
    </row>
    <row r="1164" spans="1:22" s="455" customFormat="1" hidden="1">
      <c r="A1164" s="455" t="str">
        <f t="shared" si="36"/>
        <v>18105300801500</v>
      </c>
      <c r="B1164" s="455" t="str">
        <f>VLOOKUP(LEFT($C$3:$C$2600,3),Table!$D$2:$E$88,2,FALSE)</f>
        <v>Selling &amp; admin expenses</v>
      </c>
      <c r="C1164" s="455" t="str">
        <f t="shared" si="37"/>
        <v>5300801500</v>
      </c>
      <c r="D1164" s="455" t="e">
        <f>VLOOKUP(G1164,Table!$G$3:$H$21,2,FALSE)</f>
        <v>#N/A</v>
      </c>
      <c r="E1164" s="452" t="s">
        <v>902</v>
      </c>
      <c r="F1164" s="452" t="s">
        <v>1515</v>
      </c>
      <c r="G1164" s="452" t="s">
        <v>1518</v>
      </c>
      <c r="H1164" s="452" t="s">
        <v>1136</v>
      </c>
      <c r="I1164" s="453" t="s">
        <v>844</v>
      </c>
      <c r="J1164" s="453">
        <v>614.4</v>
      </c>
      <c r="K1164" s="461">
        <v>204.8</v>
      </c>
      <c r="L1164" s="461">
        <v>204.8</v>
      </c>
      <c r="M1164" s="461">
        <v>204.8</v>
      </c>
      <c r="N1164" s="461">
        <v>0</v>
      </c>
      <c r="O1164" s="461">
        <v>0</v>
      </c>
      <c r="P1164" s="461">
        <v>0</v>
      </c>
      <c r="Q1164" s="461">
        <v>0</v>
      </c>
      <c r="R1164" s="461">
        <v>0</v>
      </c>
      <c r="S1164" s="461">
        <v>0</v>
      </c>
      <c r="T1164" s="461">
        <v>0</v>
      </c>
      <c r="U1164" s="461">
        <v>0</v>
      </c>
      <c r="V1164" s="461">
        <v>0</v>
      </c>
    </row>
    <row r="1165" spans="1:22" s="455" customFormat="1" hidden="1">
      <c r="A1165" s="455" t="str">
        <f t="shared" si="36"/>
        <v>18105300801600</v>
      </c>
      <c r="B1165" s="455" t="str">
        <f>VLOOKUP(LEFT($C$3:$C$2600,3),Table!$D$2:$E$88,2,FALSE)</f>
        <v>Selling &amp; admin expenses</v>
      </c>
      <c r="C1165" s="455" t="str">
        <f t="shared" si="37"/>
        <v>5300801600</v>
      </c>
      <c r="D1165" s="455" t="e">
        <f>VLOOKUP(G1165,Table!$G$3:$H$21,2,FALSE)</f>
        <v>#N/A</v>
      </c>
      <c r="E1165" s="452" t="s">
        <v>902</v>
      </c>
      <c r="F1165" s="452" t="s">
        <v>1515</v>
      </c>
      <c r="G1165" s="452" t="s">
        <v>1519</v>
      </c>
      <c r="H1165" s="452" t="s">
        <v>1002</v>
      </c>
      <c r="I1165" s="453" t="s">
        <v>844</v>
      </c>
      <c r="J1165" s="453">
        <v>30696</v>
      </c>
      <c r="K1165" s="461">
        <v>10232</v>
      </c>
      <c r="L1165" s="461">
        <v>10232</v>
      </c>
      <c r="M1165" s="461">
        <v>10232</v>
      </c>
      <c r="N1165" s="461">
        <v>0</v>
      </c>
      <c r="O1165" s="461">
        <v>0</v>
      </c>
      <c r="P1165" s="461">
        <v>0</v>
      </c>
      <c r="Q1165" s="461">
        <v>0</v>
      </c>
      <c r="R1165" s="461">
        <v>0</v>
      </c>
      <c r="S1165" s="461">
        <v>0</v>
      </c>
      <c r="T1165" s="461">
        <v>0</v>
      </c>
      <c r="U1165" s="461">
        <v>0</v>
      </c>
      <c r="V1165" s="461">
        <v>0</v>
      </c>
    </row>
    <row r="1166" spans="1:22" s="455" customFormat="1" hidden="1">
      <c r="A1166" s="455" t="str">
        <f t="shared" si="36"/>
        <v>18105300801900</v>
      </c>
      <c r="B1166" s="455" t="str">
        <f>VLOOKUP(LEFT($C$3:$C$2600,3),Table!$D$2:$E$88,2,FALSE)</f>
        <v>Selling &amp; admin expenses</v>
      </c>
      <c r="C1166" s="455" t="str">
        <f t="shared" si="37"/>
        <v>5300801900</v>
      </c>
      <c r="D1166" s="455" t="e">
        <f>VLOOKUP(G1166,Table!$G$3:$H$21,2,FALSE)</f>
        <v>#N/A</v>
      </c>
      <c r="E1166" s="452" t="s">
        <v>902</v>
      </c>
      <c r="F1166" s="452" t="s">
        <v>1515</v>
      </c>
      <c r="G1166" s="452" t="s">
        <v>1520</v>
      </c>
      <c r="H1166" s="452" t="s">
        <v>1007</v>
      </c>
      <c r="I1166" s="453" t="s">
        <v>844</v>
      </c>
      <c r="J1166" s="453">
        <v>935.55</v>
      </c>
      <c r="K1166" s="461">
        <v>311.85000000000002</v>
      </c>
      <c r="L1166" s="461">
        <v>311.85000000000002</v>
      </c>
      <c r="M1166" s="461">
        <v>311.85000000000002</v>
      </c>
      <c r="N1166" s="461">
        <v>0</v>
      </c>
      <c r="O1166" s="461">
        <v>0</v>
      </c>
      <c r="P1166" s="461">
        <v>0</v>
      </c>
      <c r="Q1166" s="461">
        <v>0</v>
      </c>
      <c r="R1166" s="461">
        <v>0</v>
      </c>
      <c r="S1166" s="461">
        <v>0</v>
      </c>
      <c r="T1166" s="461">
        <v>0</v>
      </c>
      <c r="U1166" s="461">
        <v>0</v>
      </c>
      <c r="V1166" s="461">
        <v>0</v>
      </c>
    </row>
    <row r="1167" spans="1:22" s="455" customFormat="1" hidden="1">
      <c r="A1167" s="455" t="str">
        <f t="shared" si="36"/>
        <v>18105301701000</v>
      </c>
      <c r="B1167" s="455" t="str">
        <f>VLOOKUP(LEFT($C$3:$C$2600,3),Table!$D$2:$E$88,2,FALSE)</f>
        <v>Selling &amp; admin expenses</v>
      </c>
      <c r="C1167" s="455" t="str">
        <f t="shared" si="37"/>
        <v>5301701000</v>
      </c>
      <c r="D1167" s="455" t="e">
        <f>VLOOKUP(G1167,Table!$G$3:$H$21,2,FALSE)</f>
        <v>#N/A</v>
      </c>
      <c r="E1167" s="452" t="s">
        <v>902</v>
      </c>
      <c r="F1167" s="452" t="s">
        <v>1515</v>
      </c>
      <c r="G1167" s="452" t="s">
        <v>1548</v>
      </c>
      <c r="H1167" s="452" t="s">
        <v>1549</v>
      </c>
      <c r="I1167" s="453" t="s">
        <v>844</v>
      </c>
      <c r="J1167" s="453">
        <v>44.79</v>
      </c>
      <c r="K1167" s="461">
        <v>0</v>
      </c>
      <c r="L1167" s="461">
        <v>0</v>
      </c>
      <c r="M1167" s="461">
        <v>44.79</v>
      </c>
      <c r="N1167" s="461">
        <v>0</v>
      </c>
      <c r="O1167" s="461">
        <v>0</v>
      </c>
      <c r="P1167" s="461">
        <v>0</v>
      </c>
      <c r="Q1167" s="461">
        <v>0</v>
      </c>
      <c r="R1167" s="461">
        <v>0</v>
      </c>
      <c r="S1167" s="461">
        <v>0</v>
      </c>
      <c r="T1167" s="461">
        <v>0</v>
      </c>
      <c r="U1167" s="461">
        <v>0</v>
      </c>
      <c r="V1167" s="461">
        <v>0</v>
      </c>
    </row>
    <row r="1168" spans="1:22" s="455" customFormat="1" hidden="1">
      <c r="A1168" s="455" t="str">
        <f t="shared" si="36"/>
        <v>18105301701300</v>
      </c>
      <c r="B1168" s="455" t="str">
        <f>VLOOKUP(LEFT($C$3:$C$2600,3),Table!$D$2:$E$88,2,FALSE)</f>
        <v>Selling &amp; admin expenses</v>
      </c>
      <c r="C1168" s="455" t="str">
        <f t="shared" si="37"/>
        <v>5301701300</v>
      </c>
      <c r="D1168" s="455" t="e">
        <f>VLOOKUP(G1168,Table!$G$3:$H$21,2,FALSE)</f>
        <v>#N/A</v>
      </c>
      <c r="E1168" s="452" t="s">
        <v>902</v>
      </c>
      <c r="F1168" s="452" t="s">
        <v>1515</v>
      </c>
      <c r="G1168" s="452" t="s">
        <v>2558</v>
      </c>
      <c r="H1168" s="452" t="s">
        <v>2559</v>
      </c>
      <c r="I1168" s="453" t="s">
        <v>844</v>
      </c>
      <c r="J1168" s="453">
        <v>0</v>
      </c>
      <c r="K1168" s="461">
        <v>0</v>
      </c>
      <c r="L1168" s="461">
        <v>0</v>
      </c>
      <c r="M1168" s="461">
        <v>43516.87</v>
      </c>
      <c r="N1168" s="461">
        <v>0</v>
      </c>
      <c r="O1168" s="461">
        <v>0</v>
      </c>
      <c r="P1168" s="461">
        <v>0</v>
      </c>
      <c r="Q1168" s="461">
        <v>0</v>
      </c>
      <c r="R1168" s="461">
        <v>0</v>
      </c>
      <c r="S1168" s="461">
        <v>0</v>
      </c>
      <c r="T1168" s="461">
        <v>0</v>
      </c>
      <c r="U1168" s="461">
        <v>0</v>
      </c>
      <c r="V1168" s="461">
        <v>0</v>
      </c>
    </row>
    <row r="1169" spans="1:22" s="455" customFormat="1" hidden="1">
      <c r="A1169" s="455" t="str">
        <f t="shared" si="36"/>
        <v>18105301801100</v>
      </c>
      <c r="B1169" s="455" t="str">
        <f>VLOOKUP(LEFT($C$3:$C$2600,3),Table!$D$2:$E$88,2,FALSE)</f>
        <v>Selling &amp; admin expenses</v>
      </c>
      <c r="C1169" s="455" t="str">
        <f t="shared" si="37"/>
        <v>5301801100</v>
      </c>
      <c r="D1169" s="455" t="e">
        <f>VLOOKUP(G1169,Table!$G$3:$H$21,2,FALSE)</f>
        <v>#N/A</v>
      </c>
      <c r="E1169" s="452" t="s">
        <v>902</v>
      </c>
      <c r="F1169" s="452" t="s">
        <v>1515</v>
      </c>
      <c r="G1169" s="452" t="s">
        <v>1526</v>
      </c>
      <c r="H1169" s="452" t="s">
        <v>1527</v>
      </c>
      <c r="I1169" s="453" t="s">
        <v>844</v>
      </c>
      <c r="J1169" s="453">
        <v>11.05</v>
      </c>
      <c r="K1169" s="461">
        <v>0</v>
      </c>
      <c r="L1169" s="461">
        <v>11.05</v>
      </c>
      <c r="M1169" s="461">
        <v>0</v>
      </c>
      <c r="N1169" s="461">
        <v>0</v>
      </c>
      <c r="O1169" s="461">
        <v>0</v>
      </c>
      <c r="P1169" s="461">
        <v>0</v>
      </c>
      <c r="Q1169" s="461">
        <v>0</v>
      </c>
      <c r="R1169" s="461">
        <v>0</v>
      </c>
      <c r="S1169" s="461">
        <v>0</v>
      </c>
      <c r="T1169" s="461">
        <v>0</v>
      </c>
      <c r="U1169" s="461">
        <v>0</v>
      </c>
      <c r="V1169" s="461">
        <v>0</v>
      </c>
    </row>
    <row r="1170" spans="1:22" s="455" customFormat="1" hidden="1">
      <c r="A1170" s="455" t="str">
        <f t="shared" si="36"/>
        <v>18105301801300</v>
      </c>
      <c r="B1170" s="455" t="str">
        <f>VLOOKUP(LEFT($C$3:$C$2600,3),Table!$D$2:$E$88,2,FALSE)</f>
        <v>Selling &amp; admin expenses</v>
      </c>
      <c r="C1170" s="455" t="str">
        <f t="shared" si="37"/>
        <v>5301801300</v>
      </c>
      <c r="D1170" s="455" t="e">
        <f>VLOOKUP(G1170,Table!$G$3:$H$21,2,FALSE)</f>
        <v>#N/A</v>
      </c>
      <c r="E1170" s="452" t="s">
        <v>902</v>
      </c>
      <c r="F1170" s="452" t="s">
        <v>1515</v>
      </c>
      <c r="G1170" s="452" t="s">
        <v>1528</v>
      </c>
      <c r="H1170" s="452" t="s">
        <v>1529</v>
      </c>
      <c r="I1170" s="453" t="s">
        <v>844</v>
      </c>
      <c r="J1170" s="453">
        <v>125</v>
      </c>
      <c r="K1170" s="461">
        <v>0</v>
      </c>
      <c r="L1170" s="461">
        <v>125</v>
      </c>
      <c r="M1170" s="461">
        <v>0</v>
      </c>
      <c r="N1170" s="461">
        <v>0</v>
      </c>
      <c r="O1170" s="461">
        <v>0</v>
      </c>
      <c r="P1170" s="461">
        <v>0</v>
      </c>
      <c r="Q1170" s="461">
        <v>0</v>
      </c>
      <c r="R1170" s="461">
        <v>0</v>
      </c>
      <c r="S1170" s="461">
        <v>0</v>
      </c>
      <c r="T1170" s="461">
        <v>0</v>
      </c>
      <c r="U1170" s="461">
        <v>0</v>
      </c>
      <c r="V1170" s="461">
        <v>0</v>
      </c>
    </row>
    <row r="1171" spans="1:22" s="455" customFormat="1" hidden="1">
      <c r="A1171" s="455" t="str">
        <f t="shared" si="36"/>
        <v>18105301801700</v>
      </c>
      <c r="B1171" s="455" t="str">
        <f>VLOOKUP(LEFT($C$3:$C$2600,3),Table!$D$2:$E$88,2,FALSE)</f>
        <v>Selling &amp; admin expenses</v>
      </c>
      <c r="C1171" s="455" t="str">
        <f t="shared" si="37"/>
        <v>5301801700</v>
      </c>
      <c r="D1171" s="455" t="e">
        <f>VLOOKUP(G1171,Table!$G$3:$H$21,2,FALSE)</f>
        <v>#N/A</v>
      </c>
      <c r="E1171" s="452" t="s">
        <v>902</v>
      </c>
      <c r="F1171" s="452" t="s">
        <v>1515</v>
      </c>
      <c r="G1171" s="452" t="s">
        <v>1530</v>
      </c>
      <c r="H1171" s="452" t="s">
        <v>1302</v>
      </c>
      <c r="I1171" s="453" t="s">
        <v>844</v>
      </c>
      <c r="J1171" s="453">
        <v>4005.9</v>
      </c>
      <c r="K1171" s="461">
        <v>0</v>
      </c>
      <c r="L1171" s="461">
        <v>4005.9</v>
      </c>
      <c r="M1171" s="461">
        <v>0</v>
      </c>
      <c r="N1171" s="461">
        <v>0</v>
      </c>
      <c r="O1171" s="461">
        <v>0</v>
      </c>
      <c r="P1171" s="461">
        <v>0</v>
      </c>
      <c r="Q1171" s="461">
        <v>0</v>
      </c>
      <c r="R1171" s="461">
        <v>0</v>
      </c>
      <c r="S1171" s="461">
        <v>0</v>
      </c>
      <c r="T1171" s="461">
        <v>0</v>
      </c>
      <c r="U1171" s="461">
        <v>0</v>
      </c>
      <c r="V1171" s="461">
        <v>0</v>
      </c>
    </row>
    <row r="1172" spans="1:22" s="455" customFormat="1" hidden="1">
      <c r="A1172" s="455" t="str">
        <f t="shared" si="36"/>
        <v>18105301801800</v>
      </c>
      <c r="B1172" s="455" t="str">
        <f>VLOOKUP(LEFT($C$3:$C$2600,3),Table!$D$2:$E$88,2,FALSE)</f>
        <v>Selling &amp; admin expenses</v>
      </c>
      <c r="C1172" s="455" t="str">
        <f t="shared" si="37"/>
        <v>5301801800</v>
      </c>
      <c r="D1172" s="455" t="e">
        <f>VLOOKUP(G1172,Table!$G$3:$H$21,2,FALSE)</f>
        <v>#N/A</v>
      </c>
      <c r="E1172" s="452" t="s">
        <v>902</v>
      </c>
      <c r="F1172" s="452" t="s">
        <v>1515</v>
      </c>
      <c r="G1172" s="452" t="s">
        <v>1531</v>
      </c>
      <c r="H1172" s="452" t="s">
        <v>1375</v>
      </c>
      <c r="I1172" s="453" t="s">
        <v>844</v>
      </c>
      <c r="J1172" s="453">
        <v>33.25</v>
      </c>
      <c r="K1172" s="461">
        <v>0</v>
      </c>
      <c r="L1172" s="461">
        <v>33.25</v>
      </c>
      <c r="M1172" s="461">
        <v>0</v>
      </c>
      <c r="N1172" s="461">
        <v>0</v>
      </c>
      <c r="O1172" s="461">
        <v>0</v>
      </c>
      <c r="P1172" s="461">
        <v>0</v>
      </c>
      <c r="Q1172" s="461">
        <v>0</v>
      </c>
      <c r="R1172" s="461">
        <v>0</v>
      </c>
      <c r="S1172" s="461">
        <v>0</v>
      </c>
      <c r="T1172" s="461">
        <v>0</v>
      </c>
      <c r="U1172" s="461">
        <v>0</v>
      </c>
      <c r="V1172" s="461">
        <v>0</v>
      </c>
    </row>
    <row r="1173" spans="1:22" s="455" customFormat="1" hidden="1">
      <c r="A1173" s="455" t="str">
        <f t="shared" si="36"/>
        <v>18105302201100</v>
      </c>
      <c r="B1173" s="455" t="str">
        <f>VLOOKUP(LEFT($C$3:$C$2600,3),Table!$D$2:$E$88,2,FALSE)</f>
        <v>Selling &amp; admin expenses</v>
      </c>
      <c r="C1173" s="455" t="str">
        <f t="shared" si="37"/>
        <v>5302201100</v>
      </c>
      <c r="D1173" s="455" t="e">
        <f>VLOOKUP(G1173,Table!$G$3:$H$21,2,FALSE)</f>
        <v>#N/A</v>
      </c>
      <c r="E1173" s="452" t="s">
        <v>902</v>
      </c>
      <c r="F1173" s="452" t="s">
        <v>1515</v>
      </c>
      <c r="G1173" s="452" t="s">
        <v>1532</v>
      </c>
      <c r="H1173" s="452" t="s">
        <v>1533</v>
      </c>
      <c r="I1173" s="453" t="s">
        <v>844</v>
      </c>
      <c r="J1173" s="453">
        <v>1268</v>
      </c>
      <c r="K1173" s="461">
        <v>167</v>
      </c>
      <c r="L1173" s="461">
        <v>1301</v>
      </c>
      <c r="M1173" s="461">
        <v>1020</v>
      </c>
      <c r="N1173" s="461">
        <v>0</v>
      </c>
      <c r="O1173" s="461">
        <v>0</v>
      </c>
      <c r="P1173" s="461">
        <v>0</v>
      </c>
      <c r="Q1173" s="461">
        <v>0</v>
      </c>
      <c r="R1173" s="461">
        <v>0</v>
      </c>
      <c r="S1173" s="461">
        <v>0</v>
      </c>
      <c r="T1173" s="461">
        <v>0</v>
      </c>
      <c r="U1173" s="461">
        <v>0</v>
      </c>
      <c r="V1173" s="461">
        <v>0</v>
      </c>
    </row>
    <row r="1174" spans="1:22" s="455" customFormat="1" hidden="1">
      <c r="A1174" s="455" t="str">
        <f t="shared" si="36"/>
        <v>18105302401000</v>
      </c>
      <c r="B1174" s="455" t="str">
        <f>VLOOKUP(LEFT($C$3:$C$2600,3),Table!$D$2:$E$88,2,FALSE)</f>
        <v>Selling &amp; admin expenses</v>
      </c>
      <c r="C1174" s="455" t="str">
        <f t="shared" si="37"/>
        <v>5302401000</v>
      </c>
      <c r="D1174" s="455" t="e">
        <f>VLOOKUP(G1174,Table!$G$3:$H$21,2,FALSE)</f>
        <v>#N/A</v>
      </c>
      <c r="E1174" s="452" t="s">
        <v>902</v>
      </c>
      <c r="F1174" s="452" t="s">
        <v>1515</v>
      </c>
      <c r="G1174" s="452" t="s">
        <v>1534</v>
      </c>
      <c r="H1174" s="452" t="s">
        <v>1535</v>
      </c>
      <c r="I1174" s="453" t="s">
        <v>844</v>
      </c>
      <c r="J1174" s="453">
        <v>5182.45</v>
      </c>
      <c r="K1174" s="461">
        <v>0</v>
      </c>
      <c r="L1174" s="461">
        <v>6277.85</v>
      </c>
      <c r="M1174" s="461">
        <v>3800</v>
      </c>
      <c r="N1174" s="461">
        <v>0</v>
      </c>
      <c r="O1174" s="461">
        <v>0</v>
      </c>
      <c r="P1174" s="461">
        <v>0</v>
      </c>
      <c r="Q1174" s="461">
        <v>0</v>
      </c>
      <c r="R1174" s="461">
        <v>0</v>
      </c>
      <c r="S1174" s="461">
        <v>0</v>
      </c>
      <c r="T1174" s="461">
        <v>0</v>
      </c>
      <c r="U1174" s="461">
        <v>0</v>
      </c>
      <c r="V1174" s="461">
        <v>0</v>
      </c>
    </row>
    <row r="1175" spans="1:22" s="455" customFormat="1" hidden="1">
      <c r="A1175" s="455" t="str">
        <f t="shared" si="36"/>
        <v>18105302402000</v>
      </c>
      <c r="B1175" s="455" t="str">
        <f>VLOOKUP(LEFT($C$3:$C$2600,3),Table!$D$2:$E$88,2,FALSE)</f>
        <v>Selling &amp; admin expenses</v>
      </c>
      <c r="C1175" s="455" t="str">
        <f t="shared" si="37"/>
        <v>5302402000</v>
      </c>
      <c r="D1175" s="455" t="e">
        <f>VLOOKUP(G1175,Table!$G$3:$H$21,2,FALSE)</f>
        <v>#N/A</v>
      </c>
      <c r="E1175" s="452" t="s">
        <v>902</v>
      </c>
      <c r="F1175" s="452" t="s">
        <v>1515</v>
      </c>
      <c r="G1175" s="452" t="s">
        <v>1536</v>
      </c>
      <c r="H1175" s="452" t="s">
        <v>1537</v>
      </c>
      <c r="I1175" s="453" t="s">
        <v>844</v>
      </c>
      <c r="J1175" s="453">
        <v>28057.05</v>
      </c>
      <c r="K1175" s="461">
        <v>16518.650000000001</v>
      </c>
      <c r="L1175" s="461">
        <v>1376</v>
      </c>
      <c r="M1175" s="461">
        <v>1376</v>
      </c>
      <c r="N1175" s="461">
        <v>0</v>
      </c>
      <c r="O1175" s="461">
        <v>0</v>
      </c>
      <c r="P1175" s="461">
        <v>0</v>
      </c>
      <c r="Q1175" s="461">
        <v>0</v>
      </c>
      <c r="R1175" s="461">
        <v>0</v>
      </c>
      <c r="S1175" s="461">
        <v>0</v>
      </c>
      <c r="T1175" s="461">
        <v>0</v>
      </c>
      <c r="U1175" s="461">
        <v>0</v>
      </c>
      <c r="V1175" s="461">
        <v>0</v>
      </c>
    </row>
    <row r="1176" spans="1:22" s="455" customFormat="1" hidden="1">
      <c r="A1176" s="455" t="str">
        <f t="shared" si="36"/>
        <v>18105303001400</v>
      </c>
      <c r="B1176" s="455" t="str">
        <f>VLOOKUP(LEFT($C$3:$C$2600,3),Table!$D$2:$E$88,2,FALSE)</f>
        <v>Selling &amp; admin expenses</v>
      </c>
      <c r="C1176" s="455" t="str">
        <f t="shared" si="37"/>
        <v>5303001400</v>
      </c>
      <c r="D1176" s="455" t="e">
        <f>VLOOKUP(G1176,Table!$G$3:$H$21,2,FALSE)</f>
        <v>#N/A</v>
      </c>
      <c r="E1176" s="452" t="s">
        <v>902</v>
      </c>
      <c r="F1176" s="452" t="s">
        <v>1515</v>
      </c>
      <c r="G1176" s="452" t="s">
        <v>1539</v>
      </c>
      <c r="H1176" s="452" t="s">
        <v>1540</v>
      </c>
      <c r="I1176" s="453" t="s">
        <v>844</v>
      </c>
      <c r="J1176" s="453">
        <v>32899</v>
      </c>
      <c r="K1176" s="461">
        <v>10921</v>
      </c>
      <c r="L1176" s="461">
        <v>10989</v>
      </c>
      <c r="M1176" s="461">
        <v>10989</v>
      </c>
      <c r="N1176" s="461">
        <v>0</v>
      </c>
      <c r="O1176" s="461">
        <v>0</v>
      </c>
      <c r="P1176" s="461">
        <v>0</v>
      </c>
      <c r="Q1176" s="461">
        <v>0</v>
      </c>
      <c r="R1176" s="461">
        <v>0</v>
      </c>
      <c r="S1176" s="461">
        <v>0</v>
      </c>
      <c r="T1176" s="461">
        <v>0</v>
      </c>
      <c r="U1176" s="461">
        <v>0</v>
      </c>
      <c r="V1176" s="461">
        <v>0</v>
      </c>
    </row>
    <row r="1177" spans="1:22" s="455" customFormat="1" hidden="1">
      <c r="A1177" s="455" t="str">
        <f t="shared" si="36"/>
        <v>18205300801000</v>
      </c>
      <c r="B1177" s="455" t="str">
        <f>VLOOKUP(LEFT($C$3:$C$2600,3),Table!$D$2:$E$88,2,FALSE)</f>
        <v>Selling &amp; admin expenses</v>
      </c>
      <c r="C1177" s="455" t="str">
        <f t="shared" si="37"/>
        <v>5300801000</v>
      </c>
      <c r="D1177" s="455" t="e">
        <f>VLOOKUP(G1177,Table!$G$3:$H$21,2,FALSE)</f>
        <v>#N/A</v>
      </c>
      <c r="E1177" s="452" t="s">
        <v>902</v>
      </c>
      <c r="F1177" s="452" t="s">
        <v>1541</v>
      </c>
      <c r="G1177" s="452" t="s">
        <v>1516</v>
      </c>
      <c r="H1177" s="452" t="s">
        <v>994</v>
      </c>
      <c r="I1177" s="453" t="s">
        <v>844</v>
      </c>
      <c r="J1177" s="453">
        <v>139865</v>
      </c>
      <c r="K1177" s="461">
        <v>47055</v>
      </c>
      <c r="L1177" s="461">
        <v>46405</v>
      </c>
      <c r="M1177" s="461">
        <v>46405</v>
      </c>
      <c r="N1177" s="461">
        <v>0</v>
      </c>
      <c r="O1177" s="461">
        <v>0</v>
      </c>
      <c r="P1177" s="461">
        <v>0</v>
      </c>
      <c r="Q1177" s="461">
        <v>0</v>
      </c>
      <c r="R1177" s="461">
        <v>0</v>
      </c>
      <c r="S1177" s="461">
        <v>0</v>
      </c>
      <c r="T1177" s="461">
        <v>0</v>
      </c>
      <c r="U1177" s="461">
        <v>0</v>
      </c>
      <c r="V1177" s="461">
        <v>0</v>
      </c>
    </row>
    <row r="1178" spans="1:22" s="455" customFormat="1" hidden="1">
      <c r="A1178" s="455" t="str">
        <f t="shared" si="36"/>
        <v>18205300801400</v>
      </c>
      <c r="B1178" s="455" t="str">
        <f>VLOOKUP(LEFT($C$3:$C$2600,3),Table!$D$2:$E$88,2,FALSE)</f>
        <v>Selling &amp; admin expenses</v>
      </c>
      <c r="C1178" s="455" t="str">
        <f t="shared" si="37"/>
        <v>5300801400</v>
      </c>
      <c r="D1178" s="455" t="e">
        <f>VLOOKUP(G1178,Table!$G$3:$H$21,2,FALSE)</f>
        <v>#N/A</v>
      </c>
      <c r="E1178" s="452" t="s">
        <v>902</v>
      </c>
      <c r="F1178" s="452" t="s">
        <v>1541</v>
      </c>
      <c r="G1178" s="452" t="s">
        <v>1517</v>
      </c>
      <c r="H1178" s="452" t="s">
        <v>998</v>
      </c>
      <c r="I1178" s="453" t="s">
        <v>844</v>
      </c>
      <c r="J1178" s="453">
        <v>20747</v>
      </c>
      <c r="K1178" s="461">
        <v>6980</v>
      </c>
      <c r="L1178" s="461">
        <v>6882</v>
      </c>
      <c r="M1178" s="461">
        <v>6885</v>
      </c>
      <c r="N1178" s="461">
        <v>0</v>
      </c>
      <c r="O1178" s="461">
        <v>0</v>
      </c>
      <c r="P1178" s="461">
        <v>0</v>
      </c>
      <c r="Q1178" s="461">
        <v>0</v>
      </c>
      <c r="R1178" s="461">
        <v>0</v>
      </c>
      <c r="S1178" s="461">
        <v>0</v>
      </c>
      <c r="T1178" s="461">
        <v>0</v>
      </c>
      <c r="U1178" s="461">
        <v>0</v>
      </c>
      <c r="V1178" s="461">
        <v>0</v>
      </c>
    </row>
    <row r="1179" spans="1:22" s="455" customFormat="1" hidden="1">
      <c r="A1179" s="455" t="str">
        <f t="shared" si="36"/>
        <v>18205300801500</v>
      </c>
      <c r="B1179" s="455" t="str">
        <f>VLOOKUP(LEFT($C$3:$C$2600,3),Table!$D$2:$E$88,2,FALSE)</f>
        <v>Selling &amp; admin expenses</v>
      </c>
      <c r="C1179" s="455" t="str">
        <f t="shared" si="37"/>
        <v>5300801500</v>
      </c>
      <c r="D1179" s="455" t="e">
        <f>VLOOKUP(G1179,Table!$G$3:$H$21,2,FALSE)</f>
        <v>#N/A</v>
      </c>
      <c r="E1179" s="452" t="s">
        <v>902</v>
      </c>
      <c r="F1179" s="452" t="s">
        <v>1541</v>
      </c>
      <c r="G1179" s="452" t="s">
        <v>1518</v>
      </c>
      <c r="H1179" s="452" t="s">
        <v>1136</v>
      </c>
      <c r="I1179" s="453" t="s">
        <v>844</v>
      </c>
      <c r="J1179" s="453">
        <v>1417.8</v>
      </c>
      <c r="K1179" s="461">
        <v>472.6</v>
      </c>
      <c r="L1179" s="461">
        <v>472.6</v>
      </c>
      <c r="M1179" s="461">
        <v>472.6</v>
      </c>
      <c r="N1179" s="461">
        <v>0</v>
      </c>
      <c r="O1179" s="461">
        <v>0</v>
      </c>
      <c r="P1179" s="461">
        <v>0</v>
      </c>
      <c r="Q1179" s="461">
        <v>0</v>
      </c>
      <c r="R1179" s="461">
        <v>0</v>
      </c>
      <c r="S1179" s="461">
        <v>0</v>
      </c>
      <c r="T1179" s="461">
        <v>0</v>
      </c>
      <c r="U1179" s="461">
        <v>0</v>
      </c>
      <c r="V1179" s="461">
        <v>0</v>
      </c>
    </row>
    <row r="1180" spans="1:22" s="455" customFormat="1" hidden="1">
      <c r="A1180" s="455" t="str">
        <f t="shared" si="36"/>
        <v>18205300801600</v>
      </c>
      <c r="B1180" s="455" t="str">
        <f>VLOOKUP(LEFT($C$3:$C$2600,3),Table!$D$2:$E$88,2,FALSE)</f>
        <v>Selling &amp; admin expenses</v>
      </c>
      <c r="C1180" s="455" t="str">
        <f t="shared" si="37"/>
        <v>5300801600</v>
      </c>
      <c r="D1180" s="455" t="e">
        <f>VLOOKUP(G1180,Table!$G$3:$H$21,2,FALSE)</f>
        <v>#N/A</v>
      </c>
      <c r="E1180" s="452" t="s">
        <v>902</v>
      </c>
      <c r="F1180" s="452" t="s">
        <v>1541</v>
      </c>
      <c r="G1180" s="452" t="s">
        <v>1519</v>
      </c>
      <c r="H1180" s="452" t="s">
        <v>1002</v>
      </c>
      <c r="I1180" s="453" t="s">
        <v>844</v>
      </c>
      <c r="J1180" s="453">
        <v>45675</v>
      </c>
      <c r="K1180" s="461">
        <v>15225</v>
      </c>
      <c r="L1180" s="461">
        <v>15225</v>
      </c>
      <c r="M1180" s="461">
        <v>15225</v>
      </c>
      <c r="N1180" s="461">
        <v>0</v>
      </c>
      <c r="O1180" s="461">
        <v>0</v>
      </c>
      <c r="P1180" s="461">
        <v>0</v>
      </c>
      <c r="Q1180" s="461">
        <v>0</v>
      </c>
      <c r="R1180" s="461">
        <v>0</v>
      </c>
      <c r="S1180" s="461">
        <v>0</v>
      </c>
      <c r="T1180" s="461">
        <v>0</v>
      </c>
      <c r="U1180" s="461">
        <v>0</v>
      </c>
      <c r="V1180" s="461">
        <v>0</v>
      </c>
    </row>
    <row r="1181" spans="1:22" s="455" customFormat="1" hidden="1">
      <c r="A1181" s="455" t="str">
        <f t="shared" si="36"/>
        <v>18205300801800</v>
      </c>
      <c r="B1181" s="455" t="str">
        <f>VLOOKUP(LEFT($C$3:$C$2600,3),Table!$D$2:$E$88,2,FALSE)</f>
        <v>Selling &amp; admin expenses</v>
      </c>
      <c r="C1181" s="455" t="str">
        <f t="shared" si="37"/>
        <v>5300801800</v>
      </c>
      <c r="D1181" s="455" t="e">
        <f>VLOOKUP(G1181,Table!$G$3:$H$21,2,FALSE)</f>
        <v>#N/A</v>
      </c>
      <c r="E1181" s="452" t="s">
        <v>902</v>
      </c>
      <c r="F1181" s="452" t="s">
        <v>1541</v>
      </c>
      <c r="G1181" s="452" t="s">
        <v>2560</v>
      </c>
      <c r="H1181" s="452" t="s">
        <v>1005</v>
      </c>
      <c r="I1181" s="453" t="s">
        <v>844</v>
      </c>
      <c r="J1181" s="453">
        <v>640</v>
      </c>
      <c r="K1181" s="461">
        <v>320</v>
      </c>
      <c r="L1181" s="461">
        <v>160</v>
      </c>
      <c r="M1181" s="461">
        <v>160</v>
      </c>
      <c r="N1181" s="461">
        <v>0</v>
      </c>
      <c r="O1181" s="461">
        <v>0</v>
      </c>
      <c r="P1181" s="461">
        <v>0</v>
      </c>
      <c r="Q1181" s="461">
        <v>0</v>
      </c>
      <c r="R1181" s="461">
        <v>0</v>
      </c>
      <c r="S1181" s="461">
        <v>0</v>
      </c>
      <c r="T1181" s="461">
        <v>0</v>
      </c>
      <c r="U1181" s="461">
        <v>0</v>
      </c>
      <c r="V1181" s="461">
        <v>0</v>
      </c>
    </row>
    <row r="1182" spans="1:22" s="455" customFormat="1" hidden="1">
      <c r="A1182" s="455" t="str">
        <f t="shared" si="36"/>
        <v>18205300801900</v>
      </c>
      <c r="B1182" s="455" t="str">
        <f>VLOOKUP(LEFT($C$3:$C$2600,3),Table!$D$2:$E$88,2,FALSE)</f>
        <v>Selling &amp; admin expenses</v>
      </c>
      <c r="C1182" s="455" t="str">
        <f t="shared" si="37"/>
        <v>5300801900</v>
      </c>
      <c r="D1182" s="455" t="e">
        <f>VLOOKUP(G1182,Table!$G$3:$H$21,2,FALSE)</f>
        <v>#N/A</v>
      </c>
      <c r="E1182" s="452" t="s">
        <v>902</v>
      </c>
      <c r="F1182" s="452" t="s">
        <v>1541</v>
      </c>
      <c r="G1182" s="452" t="s">
        <v>1520</v>
      </c>
      <c r="H1182" s="452" t="s">
        <v>1007</v>
      </c>
      <c r="I1182" s="453" t="s">
        <v>844</v>
      </c>
      <c r="J1182" s="453">
        <v>1398.65</v>
      </c>
      <c r="K1182" s="461">
        <v>470.55</v>
      </c>
      <c r="L1182" s="461">
        <v>464.05</v>
      </c>
      <c r="M1182" s="461">
        <v>464.05</v>
      </c>
      <c r="N1182" s="461">
        <v>0</v>
      </c>
      <c r="O1182" s="461">
        <v>0</v>
      </c>
      <c r="P1182" s="461">
        <v>0</v>
      </c>
      <c r="Q1182" s="461">
        <v>0</v>
      </c>
      <c r="R1182" s="461">
        <v>0</v>
      </c>
      <c r="S1182" s="461">
        <v>0</v>
      </c>
      <c r="T1182" s="461">
        <v>0</v>
      </c>
      <c r="U1182" s="461">
        <v>0</v>
      </c>
      <c r="V1182" s="461">
        <v>0</v>
      </c>
    </row>
    <row r="1183" spans="1:22" s="455" customFormat="1" hidden="1">
      <c r="A1183" s="455" t="str">
        <f t="shared" si="36"/>
        <v>18205301501100</v>
      </c>
      <c r="B1183" s="455" t="str">
        <f>VLOOKUP(LEFT($C$3:$C$2600,3),Table!$D$2:$E$88,2,FALSE)</f>
        <v>Selling &amp; admin expenses</v>
      </c>
      <c r="C1183" s="455" t="str">
        <f t="shared" si="37"/>
        <v>5301501100</v>
      </c>
      <c r="D1183" s="455" t="e">
        <f>VLOOKUP(G1183,Table!$G$3:$H$21,2,FALSE)</f>
        <v>#N/A</v>
      </c>
      <c r="E1183" s="452" t="s">
        <v>902</v>
      </c>
      <c r="F1183" s="452" t="s">
        <v>1541</v>
      </c>
      <c r="G1183" s="452" t="s">
        <v>1521</v>
      </c>
      <c r="H1183" s="452" t="s">
        <v>1010</v>
      </c>
      <c r="I1183" s="453" t="s">
        <v>844</v>
      </c>
      <c r="J1183" s="453">
        <v>432</v>
      </c>
      <c r="K1183" s="461">
        <v>189.6</v>
      </c>
      <c r="L1183" s="461">
        <v>168</v>
      </c>
      <c r="M1183" s="461">
        <v>111.6</v>
      </c>
      <c r="N1183" s="461">
        <v>0</v>
      </c>
      <c r="O1183" s="461">
        <v>0</v>
      </c>
      <c r="P1183" s="461">
        <v>0</v>
      </c>
      <c r="Q1183" s="461">
        <v>0</v>
      </c>
      <c r="R1183" s="461">
        <v>0</v>
      </c>
      <c r="S1183" s="461">
        <v>0</v>
      </c>
      <c r="T1183" s="461">
        <v>0</v>
      </c>
      <c r="U1183" s="461">
        <v>0</v>
      </c>
      <c r="V1183" s="461">
        <v>0</v>
      </c>
    </row>
    <row r="1184" spans="1:22" s="455" customFormat="1" hidden="1">
      <c r="A1184" s="455" t="str">
        <f t="shared" si="36"/>
        <v>18205301501313</v>
      </c>
      <c r="B1184" s="455" t="str">
        <f>VLOOKUP(LEFT($C$3:$C$2600,3),Table!$D$2:$E$88,2,FALSE)</f>
        <v>Selling &amp; admin expenses</v>
      </c>
      <c r="C1184" s="455" t="str">
        <f t="shared" si="37"/>
        <v>5301501313</v>
      </c>
      <c r="D1184" s="455" t="e">
        <f>VLOOKUP(G1184,Table!$G$3:$H$21,2,FALSE)</f>
        <v>#N/A</v>
      </c>
      <c r="E1184" s="452" t="s">
        <v>902</v>
      </c>
      <c r="F1184" s="452" t="s">
        <v>1541</v>
      </c>
      <c r="G1184" s="452" t="s">
        <v>2501</v>
      </c>
      <c r="H1184" s="452" t="s">
        <v>2502</v>
      </c>
      <c r="I1184" s="453" t="s">
        <v>844</v>
      </c>
      <c r="J1184" s="453">
        <v>270.10000000000002</v>
      </c>
      <c r="K1184" s="461">
        <v>270.10000000000002</v>
      </c>
      <c r="L1184" s="461">
        <v>343.34</v>
      </c>
      <c r="M1184" s="461">
        <v>303.41000000000003</v>
      </c>
      <c r="N1184" s="461">
        <v>0</v>
      </c>
      <c r="O1184" s="461">
        <v>0</v>
      </c>
      <c r="P1184" s="461">
        <v>0</v>
      </c>
      <c r="Q1184" s="461">
        <v>0</v>
      </c>
      <c r="R1184" s="461">
        <v>0</v>
      </c>
      <c r="S1184" s="461">
        <v>0</v>
      </c>
      <c r="T1184" s="461">
        <v>0</v>
      </c>
      <c r="U1184" s="461">
        <v>0</v>
      </c>
      <c r="V1184" s="461">
        <v>0</v>
      </c>
    </row>
    <row r="1185" spans="1:22" s="455" customFormat="1" hidden="1">
      <c r="A1185" s="455" t="str">
        <f t="shared" si="36"/>
        <v>18205301501330</v>
      </c>
      <c r="B1185" s="455" t="str">
        <f>VLOOKUP(LEFT($C$3:$C$2600,3),Table!$D$2:$E$88,2,FALSE)</f>
        <v>Selling &amp; admin expenses</v>
      </c>
      <c r="C1185" s="455" t="str">
        <f t="shared" si="37"/>
        <v>5301501330</v>
      </c>
      <c r="D1185" s="455" t="e">
        <f>VLOOKUP(G1185,Table!$G$3:$H$21,2,FALSE)</f>
        <v>#N/A</v>
      </c>
      <c r="E1185" s="452" t="s">
        <v>902</v>
      </c>
      <c r="F1185" s="452" t="s">
        <v>1541</v>
      </c>
      <c r="G1185" s="452" t="s">
        <v>1542</v>
      </c>
      <c r="H1185" s="452" t="s">
        <v>1543</v>
      </c>
      <c r="I1185" s="453" t="s">
        <v>844</v>
      </c>
      <c r="J1185" s="453">
        <v>190.51</v>
      </c>
      <c r="K1185" s="461">
        <v>190.51</v>
      </c>
      <c r="L1185" s="461">
        <v>364.42</v>
      </c>
      <c r="M1185" s="461">
        <v>463.86</v>
      </c>
      <c r="N1185" s="461">
        <v>0</v>
      </c>
      <c r="O1185" s="461">
        <v>0</v>
      </c>
      <c r="P1185" s="461">
        <v>0</v>
      </c>
      <c r="Q1185" s="461">
        <v>0</v>
      </c>
      <c r="R1185" s="461">
        <v>0</v>
      </c>
      <c r="S1185" s="461">
        <v>0</v>
      </c>
      <c r="T1185" s="461">
        <v>0</v>
      </c>
      <c r="U1185" s="461">
        <v>0</v>
      </c>
      <c r="V1185" s="461">
        <v>0</v>
      </c>
    </row>
    <row r="1186" spans="1:22" s="455" customFormat="1" hidden="1">
      <c r="A1186" s="455" t="str">
        <f t="shared" si="36"/>
        <v>18205301501400</v>
      </c>
      <c r="B1186" s="455" t="str">
        <f>VLOOKUP(LEFT($C$3:$C$2600,3),Table!$D$2:$E$88,2,FALSE)</f>
        <v>Selling &amp; admin expenses</v>
      </c>
      <c r="C1186" s="455" t="str">
        <f t="shared" si="37"/>
        <v>5301501400</v>
      </c>
      <c r="D1186" s="455" t="e">
        <f>VLOOKUP(G1186,Table!$G$3:$H$21,2,FALSE)</f>
        <v>#N/A</v>
      </c>
      <c r="E1186" s="452" t="s">
        <v>902</v>
      </c>
      <c r="F1186" s="452" t="s">
        <v>1541</v>
      </c>
      <c r="G1186" s="452" t="s">
        <v>1522</v>
      </c>
      <c r="H1186" s="452" t="s">
        <v>1523</v>
      </c>
      <c r="I1186" s="453" t="s">
        <v>844</v>
      </c>
      <c r="J1186" s="453">
        <v>428</v>
      </c>
      <c r="K1186" s="461">
        <v>7.2</v>
      </c>
      <c r="L1186" s="461">
        <v>120.8</v>
      </c>
      <c r="M1186" s="461">
        <v>421.4</v>
      </c>
      <c r="N1186" s="461">
        <v>0</v>
      </c>
      <c r="O1186" s="461">
        <v>0</v>
      </c>
      <c r="P1186" s="461">
        <v>0</v>
      </c>
      <c r="Q1186" s="461">
        <v>0</v>
      </c>
      <c r="R1186" s="461">
        <v>0</v>
      </c>
      <c r="S1186" s="461">
        <v>0</v>
      </c>
      <c r="T1186" s="461">
        <v>0</v>
      </c>
      <c r="U1186" s="461">
        <v>0</v>
      </c>
      <c r="V1186" s="461">
        <v>0</v>
      </c>
    </row>
    <row r="1187" spans="1:22" s="455" customFormat="1" hidden="1">
      <c r="A1187" s="455" t="str">
        <f t="shared" si="36"/>
        <v>18205301601001</v>
      </c>
      <c r="B1187" s="455" t="str">
        <f>VLOOKUP(LEFT($C$3:$C$2600,3),Table!$D$2:$E$88,2,FALSE)</f>
        <v>Selling &amp; admin expenses</v>
      </c>
      <c r="C1187" s="455" t="str">
        <f t="shared" si="37"/>
        <v>5301601001</v>
      </c>
      <c r="D1187" s="455" t="e">
        <f>VLOOKUP(G1187,Table!$G$3:$H$21,2,FALSE)</f>
        <v>#N/A</v>
      </c>
      <c r="E1187" s="452" t="s">
        <v>902</v>
      </c>
      <c r="F1187" s="452" t="s">
        <v>1541</v>
      </c>
      <c r="G1187" s="452" t="s">
        <v>1525</v>
      </c>
      <c r="H1187" s="452" t="s">
        <v>1016</v>
      </c>
      <c r="I1187" s="453" t="s">
        <v>844</v>
      </c>
      <c r="J1187" s="453">
        <v>960</v>
      </c>
      <c r="K1187" s="461">
        <v>310</v>
      </c>
      <c r="L1187" s="461">
        <v>480</v>
      </c>
      <c r="M1187" s="461">
        <v>510</v>
      </c>
      <c r="N1187" s="461">
        <v>0</v>
      </c>
      <c r="O1187" s="461">
        <v>0</v>
      </c>
      <c r="P1187" s="461">
        <v>0</v>
      </c>
      <c r="Q1187" s="461">
        <v>0</v>
      </c>
      <c r="R1187" s="461">
        <v>0</v>
      </c>
      <c r="S1187" s="461">
        <v>0</v>
      </c>
      <c r="T1187" s="461">
        <v>0</v>
      </c>
      <c r="U1187" s="461">
        <v>0</v>
      </c>
      <c r="V1187" s="461">
        <v>0</v>
      </c>
    </row>
    <row r="1188" spans="1:22" s="455" customFormat="1" hidden="1">
      <c r="A1188" s="455" t="str">
        <f t="shared" si="36"/>
        <v>18205301701010</v>
      </c>
      <c r="B1188" s="455" t="str">
        <f>VLOOKUP(LEFT($C$3:$C$2600,3),Table!$D$2:$E$88,2,FALSE)</f>
        <v>Selling &amp; admin expenses</v>
      </c>
      <c r="C1188" s="455" t="str">
        <f t="shared" si="37"/>
        <v>5301701010</v>
      </c>
      <c r="D1188" s="455" t="e">
        <f>VLOOKUP(G1188,Table!$G$3:$H$21,2,FALSE)</f>
        <v>#N/A</v>
      </c>
      <c r="E1188" s="452" t="s">
        <v>902</v>
      </c>
      <c r="F1188" s="452" t="s">
        <v>1541</v>
      </c>
      <c r="G1188" s="452" t="s">
        <v>1550</v>
      </c>
      <c r="H1188" s="452" t="s">
        <v>1551</v>
      </c>
      <c r="I1188" s="453" t="s">
        <v>844</v>
      </c>
      <c r="J1188" s="453">
        <v>349.15</v>
      </c>
      <c r="K1188" s="461">
        <v>265.66000000000003</v>
      </c>
      <c r="L1188" s="461">
        <v>186.44</v>
      </c>
      <c r="M1188" s="461">
        <v>62.48</v>
      </c>
      <c r="N1188" s="461">
        <v>0</v>
      </c>
      <c r="O1188" s="461">
        <v>0</v>
      </c>
      <c r="P1188" s="461">
        <v>0</v>
      </c>
      <c r="Q1188" s="461">
        <v>0</v>
      </c>
      <c r="R1188" s="461">
        <v>0</v>
      </c>
      <c r="S1188" s="461">
        <v>0</v>
      </c>
      <c r="T1188" s="461">
        <v>0</v>
      </c>
      <c r="U1188" s="461">
        <v>0</v>
      </c>
      <c r="V1188" s="461">
        <v>0</v>
      </c>
    </row>
    <row r="1189" spans="1:22" s="455" customFormat="1" hidden="1">
      <c r="A1189" s="455" t="str">
        <f t="shared" si="36"/>
        <v>18205301801100</v>
      </c>
      <c r="B1189" s="455" t="str">
        <f>VLOOKUP(LEFT($C$3:$C$2600,3),Table!$D$2:$E$88,2,FALSE)</f>
        <v>Selling &amp; admin expenses</v>
      </c>
      <c r="C1189" s="455" t="str">
        <f t="shared" si="37"/>
        <v>5301801100</v>
      </c>
      <c r="D1189" s="455" t="e">
        <f>VLOOKUP(G1189,Table!$G$3:$H$21,2,FALSE)</f>
        <v>#N/A</v>
      </c>
      <c r="E1189" s="452" t="s">
        <v>902</v>
      </c>
      <c r="F1189" s="452" t="s">
        <v>1541</v>
      </c>
      <c r="G1189" s="452" t="s">
        <v>1526</v>
      </c>
      <c r="H1189" s="452" t="s">
        <v>1527</v>
      </c>
      <c r="I1189" s="453" t="s">
        <v>844</v>
      </c>
      <c r="J1189" s="453">
        <v>2408.96</v>
      </c>
      <c r="K1189" s="461">
        <v>847.4</v>
      </c>
      <c r="L1189" s="461">
        <v>1345.98</v>
      </c>
      <c r="M1189" s="461">
        <v>215.58</v>
      </c>
      <c r="N1189" s="461">
        <v>0</v>
      </c>
      <c r="O1189" s="461">
        <v>0</v>
      </c>
      <c r="P1189" s="461">
        <v>0</v>
      </c>
      <c r="Q1189" s="461">
        <v>0</v>
      </c>
      <c r="R1189" s="461">
        <v>0</v>
      </c>
      <c r="S1189" s="461">
        <v>0</v>
      </c>
      <c r="T1189" s="461">
        <v>0</v>
      </c>
      <c r="U1189" s="461">
        <v>0</v>
      </c>
      <c r="V1189" s="461">
        <v>0</v>
      </c>
    </row>
    <row r="1190" spans="1:22" s="455" customFormat="1" hidden="1">
      <c r="A1190" s="455" t="str">
        <f t="shared" si="36"/>
        <v>18205301801800</v>
      </c>
      <c r="B1190" s="455" t="str">
        <f>VLOOKUP(LEFT($C$3:$C$2600,3),Table!$D$2:$E$88,2,FALSE)</f>
        <v>Selling &amp; admin expenses</v>
      </c>
      <c r="C1190" s="455" t="str">
        <f t="shared" si="37"/>
        <v>5301801800</v>
      </c>
      <c r="D1190" s="455" t="e">
        <f>VLOOKUP(G1190,Table!$G$3:$H$21,2,FALSE)</f>
        <v>#N/A</v>
      </c>
      <c r="E1190" s="452" t="s">
        <v>902</v>
      </c>
      <c r="F1190" s="452" t="s">
        <v>1541</v>
      </c>
      <c r="G1190" s="452" t="s">
        <v>1531</v>
      </c>
      <c r="H1190" s="452" t="s">
        <v>1375</v>
      </c>
      <c r="I1190" s="453" t="s">
        <v>844</v>
      </c>
      <c r="J1190" s="453">
        <v>450</v>
      </c>
      <c r="K1190" s="461">
        <v>150</v>
      </c>
      <c r="L1190" s="461">
        <v>200</v>
      </c>
      <c r="M1190" s="461">
        <v>100</v>
      </c>
      <c r="N1190" s="461">
        <v>0</v>
      </c>
      <c r="O1190" s="461">
        <v>0</v>
      </c>
      <c r="P1190" s="461">
        <v>0</v>
      </c>
      <c r="Q1190" s="461">
        <v>0</v>
      </c>
      <c r="R1190" s="461">
        <v>0</v>
      </c>
      <c r="S1190" s="461">
        <v>0</v>
      </c>
      <c r="T1190" s="461">
        <v>0</v>
      </c>
      <c r="U1190" s="461">
        <v>0</v>
      </c>
      <c r="V1190" s="461">
        <v>0</v>
      </c>
    </row>
    <row r="1191" spans="1:22" s="455" customFormat="1" hidden="1">
      <c r="A1191" s="455" t="str">
        <f t="shared" si="36"/>
        <v>18205301802100</v>
      </c>
      <c r="B1191" s="455" t="str">
        <f>VLOOKUP(LEFT($C$3:$C$2600,3),Table!$D$2:$E$88,2,FALSE)</f>
        <v>Selling &amp; admin expenses</v>
      </c>
      <c r="C1191" s="455" t="str">
        <f t="shared" si="37"/>
        <v>5301802100</v>
      </c>
      <c r="D1191" s="455" t="e">
        <f>VLOOKUP(G1191,Table!$G$3:$H$21,2,FALSE)</f>
        <v>#N/A</v>
      </c>
      <c r="E1191" s="452" t="s">
        <v>902</v>
      </c>
      <c r="F1191" s="452" t="s">
        <v>1541</v>
      </c>
      <c r="G1191" s="452" t="s">
        <v>1554</v>
      </c>
      <c r="H1191" s="452" t="s">
        <v>1217</v>
      </c>
      <c r="I1191" s="453" t="s">
        <v>844</v>
      </c>
      <c r="J1191" s="453">
        <v>3435</v>
      </c>
      <c r="K1191" s="461">
        <v>0</v>
      </c>
      <c r="L1191" s="461">
        <v>3435</v>
      </c>
      <c r="M1191" s="461">
        <v>0</v>
      </c>
      <c r="N1191" s="461">
        <v>0</v>
      </c>
      <c r="O1191" s="461">
        <v>0</v>
      </c>
      <c r="P1191" s="461">
        <v>0</v>
      </c>
      <c r="Q1191" s="461">
        <v>0</v>
      </c>
      <c r="R1191" s="461">
        <v>0</v>
      </c>
      <c r="S1191" s="461">
        <v>0</v>
      </c>
      <c r="T1191" s="461">
        <v>0</v>
      </c>
      <c r="U1191" s="461">
        <v>0</v>
      </c>
      <c r="V1191" s="461">
        <v>0</v>
      </c>
    </row>
    <row r="1192" spans="1:22" s="455" customFormat="1" hidden="1">
      <c r="A1192" s="455" t="str">
        <f t="shared" si="36"/>
        <v>18205302201100</v>
      </c>
      <c r="B1192" s="455" t="str">
        <f>VLOOKUP(LEFT($C$3:$C$2600,3),Table!$D$2:$E$88,2,FALSE)</f>
        <v>Selling &amp; admin expenses</v>
      </c>
      <c r="C1192" s="455" t="str">
        <f t="shared" si="37"/>
        <v>5302201100</v>
      </c>
      <c r="D1192" s="455" t="e">
        <f>VLOOKUP(G1192,Table!$G$3:$H$21,2,FALSE)</f>
        <v>#N/A</v>
      </c>
      <c r="E1192" s="452" t="s">
        <v>902</v>
      </c>
      <c r="F1192" s="452" t="s">
        <v>1541</v>
      </c>
      <c r="G1192" s="452" t="s">
        <v>1532</v>
      </c>
      <c r="H1192" s="452" t="s">
        <v>1533</v>
      </c>
      <c r="I1192" s="453" t="s">
        <v>844</v>
      </c>
      <c r="J1192" s="453">
        <v>0</v>
      </c>
      <c r="K1192" s="461">
        <v>0</v>
      </c>
      <c r="L1192" s="461">
        <v>0</v>
      </c>
      <c r="M1192" s="461">
        <v>50</v>
      </c>
      <c r="N1192" s="461">
        <v>0</v>
      </c>
      <c r="O1192" s="461">
        <v>0</v>
      </c>
      <c r="P1192" s="461">
        <v>0</v>
      </c>
      <c r="Q1192" s="461">
        <v>0</v>
      </c>
      <c r="R1192" s="461">
        <v>0</v>
      </c>
      <c r="S1192" s="461">
        <v>0</v>
      </c>
      <c r="T1192" s="461">
        <v>0</v>
      </c>
      <c r="U1192" s="461">
        <v>0</v>
      </c>
      <c r="V1192" s="461">
        <v>0</v>
      </c>
    </row>
    <row r="1193" spans="1:22" s="455" customFormat="1" hidden="1">
      <c r="A1193" s="455" t="str">
        <f t="shared" si="36"/>
        <v>18205302501000</v>
      </c>
      <c r="B1193" s="455" t="str">
        <f>VLOOKUP(LEFT($C$3:$C$2600,3),Table!$D$2:$E$88,2,FALSE)</f>
        <v>Selling &amp; admin expenses</v>
      </c>
      <c r="C1193" s="455" t="str">
        <f t="shared" si="37"/>
        <v>5302501000</v>
      </c>
      <c r="D1193" s="455" t="e">
        <f>VLOOKUP(G1193,Table!$G$3:$H$21,2,FALSE)</f>
        <v>#N/A</v>
      </c>
      <c r="E1193" s="452" t="s">
        <v>902</v>
      </c>
      <c r="F1193" s="452" t="s">
        <v>1541</v>
      </c>
      <c r="G1193" s="452" t="s">
        <v>1556</v>
      </c>
      <c r="H1193" s="452" t="s">
        <v>1557</v>
      </c>
      <c r="I1193" s="453" t="s">
        <v>844</v>
      </c>
      <c r="J1193" s="453">
        <v>6000</v>
      </c>
      <c r="K1193" s="461">
        <v>6000</v>
      </c>
      <c r="L1193" s="461">
        <v>0</v>
      </c>
      <c r="M1193" s="461">
        <v>0</v>
      </c>
      <c r="N1193" s="461">
        <v>0</v>
      </c>
      <c r="O1193" s="461">
        <v>0</v>
      </c>
      <c r="P1193" s="461">
        <v>0</v>
      </c>
      <c r="Q1193" s="461">
        <v>0</v>
      </c>
      <c r="R1193" s="461">
        <v>0</v>
      </c>
      <c r="S1193" s="461">
        <v>0</v>
      </c>
      <c r="T1193" s="461">
        <v>0</v>
      </c>
      <c r="U1193" s="461">
        <v>0</v>
      </c>
      <c r="V1193" s="461">
        <v>0</v>
      </c>
    </row>
    <row r="1194" spans="1:22" s="455" customFormat="1" hidden="1">
      <c r="A1194" s="455" t="str">
        <f t="shared" si="36"/>
        <v>18205302501400</v>
      </c>
      <c r="B1194" s="455" t="str">
        <f>VLOOKUP(LEFT($C$3:$C$2600,3),Table!$D$2:$E$88,2,FALSE)</f>
        <v>Selling &amp; admin expenses</v>
      </c>
      <c r="C1194" s="455" t="str">
        <f t="shared" si="37"/>
        <v>5302501400</v>
      </c>
      <c r="D1194" s="455" t="e">
        <f>VLOOKUP(G1194,Table!$G$3:$H$21,2,FALSE)</f>
        <v>#N/A</v>
      </c>
      <c r="E1194" s="452" t="s">
        <v>902</v>
      </c>
      <c r="F1194" s="452" t="s">
        <v>1541</v>
      </c>
      <c r="G1194" s="452" t="s">
        <v>1499</v>
      </c>
      <c r="H1194" s="452" t="s">
        <v>1500</v>
      </c>
      <c r="I1194" s="453" t="s">
        <v>844</v>
      </c>
      <c r="J1194" s="453">
        <v>1595</v>
      </c>
      <c r="K1194" s="461">
        <v>0</v>
      </c>
      <c r="L1194" s="461">
        <v>1595</v>
      </c>
      <c r="M1194" s="461">
        <v>350</v>
      </c>
      <c r="N1194" s="461">
        <v>0</v>
      </c>
      <c r="O1194" s="461">
        <v>0</v>
      </c>
      <c r="P1194" s="461">
        <v>0</v>
      </c>
      <c r="Q1194" s="461">
        <v>0</v>
      </c>
      <c r="R1194" s="461">
        <v>0</v>
      </c>
      <c r="S1194" s="461">
        <v>0</v>
      </c>
      <c r="T1194" s="461">
        <v>0</v>
      </c>
      <c r="U1194" s="461">
        <v>0</v>
      </c>
      <c r="V1194" s="461">
        <v>0</v>
      </c>
    </row>
    <row r="1195" spans="1:22" s="455" customFormat="1" hidden="1">
      <c r="A1195" s="455" t="str">
        <f t="shared" si="36"/>
        <v>18205302600000</v>
      </c>
      <c r="B1195" s="455" t="str">
        <f>VLOOKUP(LEFT($C$3:$C$2600,3),Table!$D$2:$E$88,2,FALSE)</f>
        <v>Selling &amp; admin expenses</v>
      </c>
      <c r="C1195" s="455" t="str">
        <f t="shared" si="37"/>
        <v>5302600000</v>
      </c>
      <c r="D1195" s="455" t="e">
        <f>VLOOKUP(G1195,Table!$G$3:$H$21,2,FALSE)</f>
        <v>#N/A</v>
      </c>
      <c r="E1195" s="452" t="s">
        <v>902</v>
      </c>
      <c r="F1195" s="452" t="s">
        <v>1541</v>
      </c>
      <c r="G1195" s="452" t="s">
        <v>1558</v>
      </c>
      <c r="H1195" s="452" t="s">
        <v>1447</v>
      </c>
      <c r="I1195" s="453" t="s">
        <v>844</v>
      </c>
      <c r="J1195" s="453">
        <v>2905.5</v>
      </c>
      <c r="K1195" s="461">
        <v>975.5</v>
      </c>
      <c r="L1195" s="461">
        <v>965</v>
      </c>
      <c r="M1195" s="461">
        <v>965</v>
      </c>
      <c r="N1195" s="461">
        <v>0</v>
      </c>
      <c r="O1195" s="461">
        <v>0</v>
      </c>
      <c r="P1195" s="461">
        <v>0</v>
      </c>
      <c r="Q1195" s="461">
        <v>0</v>
      </c>
      <c r="R1195" s="461">
        <v>0</v>
      </c>
      <c r="S1195" s="461">
        <v>0</v>
      </c>
      <c r="T1195" s="461">
        <v>0</v>
      </c>
      <c r="U1195" s="461">
        <v>0</v>
      </c>
      <c r="V1195" s="461">
        <v>0</v>
      </c>
    </row>
    <row r="1196" spans="1:22" s="455" customFormat="1" hidden="1">
      <c r="A1196" s="455" t="str">
        <f t="shared" si="36"/>
        <v>18205302701013</v>
      </c>
      <c r="B1196" s="455" t="str">
        <f>VLOOKUP(LEFT($C$3:$C$2600,3),Table!$D$2:$E$88,2,FALSE)</f>
        <v>Selling &amp; admin expenses</v>
      </c>
      <c r="C1196" s="455" t="str">
        <f t="shared" si="37"/>
        <v>5302701013</v>
      </c>
      <c r="D1196" s="455" t="e">
        <f>VLOOKUP(G1196,Table!$G$3:$H$21,2,FALSE)</f>
        <v>#N/A</v>
      </c>
      <c r="E1196" s="452" t="s">
        <v>902</v>
      </c>
      <c r="F1196" s="452" t="s">
        <v>1541</v>
      </c>
      <c r="G1196" s="452" t="s">
        <v>2503</v>
      </c>
      <c r="H1196" s="452" t="s">
        <v>2504</v>
      </c>
      <c r="I1196" s="453" t="s">
        <v>844</v>
      </c>
      <c r="J1196" s="453">
        <v>0</v>
      </c>
      <c r="K1196" s="461">
        <v>0</v>
      </c>
      <c r="L1196" s="461">
        <v>299.3</v>
      </c>
      <c r="M1196" s="461">
        <v>0</v>
      </c>
      <c r="N1196" s="461">
        <v>0</v>
      </c>
      <c r="O1196" s="461">
        <v>0</v>
      </c>
      <c r="P1196" s="461">
        <v>0</v>
      </c>
      <c r="Q1196" s="461">
        <v>0</v>
      </c>
      <c r="R1196" s="461">
        <v>0</v>
      </c>
      <c r="S1196" s="461">
        <v>0</v>
      </c>
      <c r="T1196" s="461">
        <v>0</v>
      </c>
      <c r="U1196" s="461">
        <v>0</v>
      </c>
      <c r="V1196" s="461">
        <v>0</v>
      </c>
    </row>
    <row r="1197" spans="1:22" s="455" customFormat="1" hidden="1">
      <c r="A1197" s="455" t="str">
        <f t="shared" si="36"/>
        <v>18205302701030</v>
      </c>
      <c r="B1197" s="455" t="str">
        <f>VLOOKUP(LEFT($C$3:$C$2600,3),Table!$D$2:$E$88,2,FALSE)</f>
        <v>Selling &amp; admin expenses</v>
      </c>
      <c r="C1197" s="455" t="str">
        <f t="shared" si="37"/>
        <v>5302701030</v>
      </c>
      <c r="D1197" s="455" t="e">
        <f>VLOOKUP(G1197,Table!$G$3:$H$21,2,FALSE)</f>
        <v>#N/A</v>
      </c>
      <c r="E1197" s="452" t="s">
        <v>902</v>
      </c>
      <c r="F1197" s="452" t="s">
        <v>1541</v>
      </c>
      <c r="G1197" s="452" t="s">
        <v>1559</v>
      </c>
      <c r="H1197" s="452" t="s">
        <v>1560</v>
      </c>
      <c r="I1197" s="453" t="s">
        <v>844</v>
      </c>
      <c r="J1197" s="453">
        <v>0</v>
      </c>
      <c r="K1197" s="461">
        <v>0</v>
      </c>
      <c r="L1197" s="461">
        <v>0</v>
      </c>
      <c r="M1197" s="461">
        <v>844</v>
      </c>
      <c r="N1197" s="461">
        <v>0</v>
      </c>
      <c r="O1197" s="461">
        <v>0</v>
      </c>
      <c r="P1197" s="461">
        <v>0</v>
      </c>
      <c r="Q1197" s="461">
        <v>0</v>
      </c>
      <c r="R1197" s="461">
        <v>0</v>
      </c>
      <c r="S1197" s="461">
        <v>0</v>
      </c>
      <c r="T1197" s="461">
        <v>0</v>
      </c>
      <c r="U1197" s="461">
        <v>0</v>
      </c>
      <c r="V1197" s="461">
        <v>0</v>
      </c>
    </row>
    <row r="1198" spans="1:22" s="455" customFormat="1" hidden="1">
      <c r="A1198" s="455" t="str">
        <f t="shared" si="36"/>
        <v>18205302701113</v>
      </c>
      <c r="B1198" s="455" t="str">
        <f>VLOOKUP(LEFT($C$3:$C$2600,3),Table!$D$2:$E$88,2,FALSE)</f>
        <v>Selling &amp; admin expenses</v>
      </c>
      <c r="C1198" s="455" t="str">
        <f t="shared" si="37"/>
        <v>5302701113</v>
      </c>
      <c r="D1198" s="455" t="e">
        <f>VLOOKUP(G1198,Table!$G$3:$H$21,2,FALSE)</f>
        <v>#N/A</v>
      </c>
      <c r="E1198" s="452" t="s">
        <v>902</v>
      </c>
      <c r="F1198" s="452" t="s">
        <v>1541</v>
      </c>
      <c r="G1198" s="452" t="s">
        <v>2505</v>
      </c>
      <c r="H1198" s="452" t="s">
        <v>2506</v>
      </c>
      <c r="I1198" s="453" t="s">
        <v>844</v>
      </c>
      <c r="J1198" s="453">
        <v>556.28</v>
      </c>
      <c r="K1198" s="461">
        <v>184.28</v>
      </c>
      <c r="L1198" s="461">
        <v>186</v>
      </c>
      <c r="M1198" s="461">
        <v>186</v>
      </c>
      <c r="N1198" s="461">
        <v>0</v>
      </c>
      <c r="O1198" s="461">
        <v>0</v>
      </c>
      <c r="P1198" s="461">
        <v>0</v>
      </c>
      <c r="Q1198" s="461">
        <v>0</v>
      </c>
      <c r="R1198" s="461">
        <v>0</v>
      </c>
      <c r="S1198" s="461">
        <v>0</v>
      </c>
      <c r="T1198" s="461">
        <v>0</v>
      </c>
      <c r="U1198" s="461">
        <v>0</v>
      </c>
      <c r="V1198" s="461">
        <v>0</v>
      </c>
    </row>
    <row r="1199" spans="1:22" s="455" customFormat="1" hidden="1">
      <c r="A1199" s="455" t="str">
        <f t="shared" si="36"/>
        <v>18205302701130</v>
      </c>
      <c r="B1199" s="455" t="str">
        <f>VLOOKUP(LEFT($C$3:$C$2600,3),Table!$D$2:$E$88,2,FALSE)</f>
        <v>Selling &amp; admin expenses</v>
      </c>
      <c r="C1199" s="455" t="str">
        <f t="shared" si="37"/>
        <v>5302701130</v>
      </c>
      <c r="D1199" s="455" t="e">
        <f>VLOOKUP(G1199,Table!$G$3:$H$21,2,FALSE)</f>
        <v>#N/A</v>
      </c>
      <c r="E1199" s="452" t="s">
        <v>902</v>
      </c>
      <c r="F1199" s="452" t="s">
        <v>1541</v>
      </c>
      <c r="G1199" s="452" t="s">
        <v>1561</v>
      </c>
      <c r="H1199" s="452" t="s">
        <v>1562</v>
      </c>
      <c r="I1199" s="453" t="s">
        <v>844</v>
      </c>
      <c r="J1199" s="453">
        <v>342.95</v>
      </c>
      <c r="K1199" s="461">
        <v>110.95</v>
      </c>
      <c r="L1199" s="461">
        <v>116</v>
      </c>
      <c r="M1199" s="461">
        <v>116</v>
      </c>
      <c r="N1199" s="461">
        <v>0</v>
      </c>
      <c r="O1199" s="461">
        <v>0</v>
      </c>
      <c r="P1199" s="461">
        <v>0</v>
      </c>
      <c r="Q1199" s="461">
        <v>0</v>
      </c>
      <c r="R1199" s="461">
        <v>0</v>
      </c>
      <c r="S1199" s="461">
        <v>0</v>
      </c>
      <c r="T1199" s="461">
        <v>0</v>
      </c>
      <c r="U1199" s="461">
        <v>0</v>
      </c>
      <c r="V1199" s="461">
        <v>0</v>
      </c>
    </row>
    <row r="1200" spans="1:22" s="455" customFormat="1" hidden="1">
      <c r="A1200" s="455" t="str">
        <f t="shared" si="36"/>
        <v>18205302801000</v>
      </c>
      <c r="B1200" s="455" t="str">
        <f>VLOOKUP(LEFT($C$3:$C$2600,3),Table!$D$2:$E$88,2,FALSE)</f>
        <v>Selling &amp; admin expenses</v>
      </c>
      <c r="C1200" s="455" t="str">
        <f t="shared" si="37"/>
        <v>5302801000</v>
      </c>
      <c r="D1200" s="455" t="e">
        <f>VLOOKUP(G1200,Table!$G$3:$H$21,2,FALSE)</f>
        <v>#N/A</v>
      </c>
      <c r="E1200" s="452" t="s">
        <v>902</v>
      </c>
      <c r="F1200" s="452" t="s">
        <v>1541</v>
      </c>
      <c r="G1200" s="452" t="s">
        <v>1538</v>
      </c>
      <c r="H1200" s="452" t="s">
        <v>1042</v>
      </c>
      <c r="I1200" s="453" t="s">
        <v>844</v>
      </c>
      <c r="J1200" s="453">
        <v>2836.52</v>
      </c>
      <c r="K1200" s="461">
        <v>1258.72</v>
      </c>
      <c r="L1200" s="461">
        <v>13.8</v>
      </c>
      <c r="M1200" s="461">
        <v>1568</v>
      </c>
      <c r="N1200" s="461">
        <v>0</v>
      </c>
      <c r="O1200" s="461">
        <v>0</v>
      </c>
      <c r="P1200" s="461">
        <v>0</v>
      </c>
      <c r="Q1200" s="461">
        <v>0</v>
      </c>
      <c r="R1200" s="461">
        <v>0</v>
      </c>
      <c r="S1200" s="461">
        <v>0</v>
      </c>
      <c r="T1200" s="461">
        <v>0</v>
      </c>
      <c r="U1200" s="461">
        <v>0</v>
      </c>
      <c r="V1200" s="461">
        <v>0</v>
      </c>
    </row>
    <row r="1201" spans="1:22" s="455" customFormat="1" hidden="1">
      <c r="A1201" s="455" t="str">
        <f t="shared" si="36"/>
        <v>18205302801200</v>
      </c>
      <c r="B1201" s="455" t="str">
        <f>VLOOKUP(LEFT($C$3:$C$2600,3),Table!$D$2:$E$88,2,FALSE)</f>
        <v>Selling &amp; admin expenses</v>
      </c>
      <c r="C1201" s="455" t="str">
        <f t="shared" si="37"/>
        <v>5302801200</v>
      </c>
      <c r="D1201" s="455" t="e">
        <f>VLOOKUP(G1201,Table!$G$3:$H$21,2,FALSE)</f>
        <v>#N/A</v>
      </c>
      <c r="E1201" s="452" t="s">
        <v>902</v>
      </c>
      <c r="F1201" s="452" t="s">
        <v>1541</v>
      </c>
      <c r="G1201" s="452" t="s">
        <v>2508</v>
      </c>
      <c r="H1201" s="452" t="s">
        <v>2509</v>
      </c>
      <c r="I1201" s="453" t="s">
        <v>844</v>
      </c>
      <c r="J1201" s="453">
        <v>1721.13</v>
      </c>
      <c r="K1201" s="461">
        <v>0</v>
      </c>
      <c r="L1201" s="461">
        <v>0</v>
      </c>
      <c r="M1201" s="461">
        <v>1721.13</v>
      </c>
      <c r="N1201" s="461">
        <v>0</v>
      </c>
      <c r="O1201" s="461">
        <v>0</v>
      </c>
      <c r="P1201" s="461">
        <v>0</v>
      </c>
      <c r="Q1201" s="461">
        <v>0</v>
      </c>
      <c r="R1201" s="461">
        <v>0</v>
      </c>
      <c r="S1201" s="461">
        <v>0</v>
      </c>
      <c r="T1201" s="461">
        <v>0</v>
      </c>
      <c r="U1201" s="461">
        <v>0</v>
      </c>
      <c r="V1201" s="461">
        <v>0</v>
      </c>
    </row>
    <row r="1202" spans="1:22" s="455" customFormat="1" hidden="1">
      <c r="A1202" s="455" t="str">
        <f t="shared" si="36"/>
        <v>18205303001600</v>
      </c>
      <c r="B1202" s="455" t="str">
        <f>VLOOKUP(LEFT($C$3:$C$2600,3),Table!$D$2:$E$88,2,FALSE)</f>
        <v>Selling &amp; admin expenses</v>
      </c>
      <c r="C1202" s="455" t="str">
        <f t="shared" si="37"/>
        <v>5303001600</v>
      </c>
      <c r="D1202" s="455" t="e">
        <f>VLOOKUP(G1202,Table!$G$3:$H$21,2,FALSE)</f>
        <v>#N/A</v>
      </c>
      <c r="E1202" s="452" t="s">
        <v>902</v>
      </c>
      <c r="F1202" s="452" t="s">
        <v>1541</v>
      </c>
      <c r="G1202" s="452" t="s">
        <v>1563</v>
      </c>
      <c r="H1202" s="452" t="s">
        <v>1564</v>
      </c>
      <c r="I1202" s="453" t="s">
        <v>844</v>
      </c>
      <c r="J1202" s="453">
        <v>9537</v>
      </c>
      <c r="K1202" s="461">
        <v>3179</v>
      </c>
      <c r="L1202" s="461">
        <v>3179</v>
      </c>
      <c r="M1202" s="461">
        <v>3179</v>
      </c>
      <c r="N1202" s="461">
        <v>0</v>
      </c>
      <c r="O1202" s="461">
        <v>0</v>
      </c>
      <c r="P1202" s="461">
        <v>0</v>
      </c>
      <c r="Q1202" s="461">
        <v>0</v>
      </c>
      <c r="R1202" s="461">
        <v>0</v>
      </c>
      <c r="S1202" s="461">
        <v>0</v>
      </c>
      <c r="T1202" s="461">
        <v>0</v>
      </c>
      <c r="U1202" s="461">
        <v>0</v>
      </c>
      <c r="V1202" s="461">
        <v>0</v>
      </c>
    </row>
    <row r="1203" spans="1:22" s="455" customFormat="1" hidden="1">
      <c r="A1203" s="455" t="str">
        <f t="shared" si="36"/>
        <v>18205303501111</v>
      </c>
      <c r="B1203" s="455" t="str">
        <f>VLOOKUP(LEFT($C$3:$C$2600,3),Table!$D$2:$E$88,2,FALSE)</f>
        <v>Selling &amp; admin expenses</v>
      </c>
      <c r="C1203" s="455" t="str">
        <f t="shared" si="37"/>
        <v>5303501111</v>
      </c>
      <c r="D1203" s="455" t="e">
        <f>VLOOKUP(G1203,Table!$G$3:$H$21,2,FALSE)</f>
        <v>#N/A</v>
      </c>
      <c r="E1203" s="452" t="s">
        <v>902</v>
      </c>
      <c r="F1203" s="452" t="s">
        <v>1541</v>
      </c>
      <c r="G1203" s="452" t="s">
        <v>946</v>
      </c>
      <c r="H1203" s="452" t="s">
        <v>947</v>
      </c>
      <c r="I1203" s="453" t="s">
        <v>844</v>
      </c>
      <c r="J1203" s="453">
        <v>1560</v>
      </c>
      <c r="K1203" s="461">
        <v>427</v>
      </c>
      <c r="L1203" s="461">
        <v>430</v>
      </c>
      <c r="M1203" s="461">
        <v>703</v>
      </c>
      <c r="N1203" s="461">
        <v>0</v>
      </c>
      <c r="O1203" s="461">
        <v>0</v>
      </c>
      <c r="P1203" s="461">
        <v>0</v>
      </c>
      <c r="Q1203" s="461">
        <v>0</v>
      </c>
      <c r="R1203" s="461">
        <v>0</v>
      </c>
      <c r="S1203" s="461">
        <v>0</v>
      </c>
      <c r="T1203" s="461">
        <v>0</v>
      </c>
      <c r="U1203" s="461">
        <v>0</v>
      </c>
      <c r="V1203" s="461">
        <v>0</v>
      </c>
    </row>
    <row r="1204" spans="1:22" s="455" customFormat="1" hidden="1">
      <c r="A1204" s="455" t="str">
        <f t="shared" si="36"/>
        <v>18205303501112</v>
      </c>
      <c r="B1204" s="455" t="str">
        <f>VLOOKUP(LEFT($C$3:$C$2600,3),Table!$D$2:$E$88,2,FALSE)</f>
        <v>Selling &amp; admin expenses</v>
      </c>
      <c r="C1204" s="455" t="str">
        <f t="shared" si="37"/>
        <v>5303501112</v>
      </c>
      <c r="D1204" s="455" t="e">
        <f>VLOOKUP(G1204,Table!$G$3:$H$21,2,FALSE)</f>
        <v>#N/A</v>
      </c>
      <c r="E1204" s="452" t="s">
        <v>902</v>
      </c>
      <c r="F1204" s="452" t="s">
        <v>1541</v>
      </c>
      <c r="G1204" s="452" t="s">
        <v>1566</v>
      </c>
      <c r="H1204" s="452" t="s">
        <v>1567</v>
      </c>
      <c r="I1204" s="453" t="s">
        <v>844</v>
      </c>
      <c r="J1204" s="453">
        <v>140</v>
      </c>
      <c r="K1204" s="461">
        <v>40</v>
      </c>
      <c r="L1204" s="461">
        <v>50</v>
      </c>
      <c r="M1204" s="461">
        <v>50</v>
      </c>
      <c r="N1204" s="461">
        <v>0</v>
      </c>
      <c r="O1204" s="461">
        <v>0</v>
      </c>
      <c r="P1204" s="461">
        <v>0</v>
      </c>
      <c r="Q1204" s="461">
        <v>0</v>
      </c>
      <c r="R1204" s="461">
        <v>0</v>
      </c>
      <c r="S1204" s="461">
        <v>0</v>
      </c>
      <c r="T1204" s="461">
        <v>0</v>
      </c>
      <c r="U1204" s="461">
        <v>0</v>
      </c>
      <c r="V1204" s="461">
        <v>0</v>
      </c>
    </row>
    <row r="1205" spans="1:22" s="455" customFormat="1" hidden="1">
      <c r="A1205" s="455" t="str">
        <f t="shared" si="36"/>
        <v>18205303601000</v>
      </c>
      <c r="B1205" s="455" t="str">
        <f>VLOOKUP(LEFT($C$3:$C$2600,3),Table!$D$2:$E$88,2,FALSE)</f>
        <v>Selling &amp; admin expenses</v>
      </c>
      <c r="C1205" s="455" t="str">
        <f t="shared" si="37"/>
        <v>5303601000</v>
      </c>
      <c r="D1205" s="455" t="e">
        <f>VLOOKUP(G1205,Table!$G$3:$H$21,2,FALSE)</f>
        <v>#N/A</v>
      </c>
      <c r="E1205" s="452" t="s">
        <v>902</v>
      </c>
      <c r="F1205" s="452" t="s">
        <v>1541</v>
      </c>
      <c r="G1205" s="452" t="s">
        <v>1568</v>
      </c>
      <c r="H1205" s="452" t="s">
        <v>1569</v>
      </c>
      <c r="I1205" s="453" t="s">
        <v>844</v>
      </c>
      <c r="J1205" s="453">
        <v>267.12</v>
      </c>
      <c r="K1205" s="461">
        <v>133.56</v>
      </c>
      <c r="L1205" s="461">
        <v>133.56</v>
      </c>
      <c r="M1205" s="461">
        <v>133.56</v>
      </c>
      <c r="N1205" s="461">
        <v>0</v>
      </c>
      <c r="O1205" s="461">
        <v>0</v>
      </c>
      <c r="P1205" s="461">
        <v>0</v>
      </c>
      <c r="Q1205" s="461">
        <v>0</v>
      </c>
      <c r="R1205" s="461">
        <v>0</v>
      </c>
      <c r="S1205" s="461">
        <v>0</v>
      </c>
      <c r="T1205" s="461">
        <v>0</v>
      </c>
      <c r="U1205" s="461">
        <v>0</v>
      </c>
      <c r="V1205" s="461">
        <v>0</v>
      </c>
    </row>
    <row r="1206" spans="1:22" s="455" customFormat="1" hidden="1">
      <c r="A1206" s="455" t="str">
        <f t="shared" si="36"/>
        <v>18305300801000</v>
      </c>
      <c r="B1206" s="455" t="str">
        <f>VLOOKUP(LEFT($C$3:$C$2600,3),Table!$D$2:$E$88,2,FALSE)</f>
        <v>Selling &amp; admin expenses</v>
      </c>
      <c r="C1206" s="455" t="str">
        <f t="shared" si="37"/>
        <v>5300801000</v>
      </c>
      <c r="D1206" s="455" t="e">
        <f>VLOOKUP(G1206,Table!$G$3:$H$21,2,FALSE)</f>
        <v>#N/A</v>
      </c>
      <c r="E1206" s="452" t="s">
        <v>902</v>
      </c>
      <c r="F1206" s="452" t="s">
        <v>1571</v>
      </c>
      <c r="G1206" s="452" t="s">
        <v>1516</v>
      </c>
      <c r="H1206" s="452" t="s">
        <v>994</v>
      </c>
      <c r="I1206" s="453" t="s">
        <v>844</v>
      </c>
      <c r="J1206" s="453">
        <v>372982.15</v>
      </c>
      <c r="K1206" s="461">
        <v>113250</v>
      </c>
      <c r="L1206" s="461">
        <v>104835</v>
      </c>
      <c r="M1206" s="461">
        <v>154897.15</v>
      </c>
      <c r="N1206" s="461">
        <v>0</v>
      </c>
      <c r="O1206" s="461">
        <v>0</v>
      </c>
      <c r="P1206" s="461">
        <v>0</v>
      </c>
      <c r="Q1206" s="461">
        <v>0</v>
      </c>
      <c r="R1206" s="461">
        <v>0</v>
      </c>
      <c r="S1206" s="461">
        <v>0</v>
      </c>
      <c r="T1206" s="461">
        <v>0</v>
      </c>
      <c r="U1206" s="461">
        <v>0</v>
      </c>
      <c r="V1206" s="461">
        <v>0</v>
      </c>
    </row>
    <row r="1207" spans="1:22" s="455" customFormat="1" hidden="1">
      <c r="A1207" s="455" t="str">
        <f t="shared" si="36"/>
        <v>18305300801400</v>
      </c>
      <c r="B1207" s="455" t="str">
        <f>VLOOKUP(LEFT($C$3:$C$2600,3),Table!$D$2:$E$88,2,FALSE)</f>
        <v>Selling &amp; admin expenses</v>
      </c>
      <c r="C1207" s="455" t="str">
        <f t="shared" si="37"/>
        <v>5300801400</v>
      </c>
      <c r="D1207" s="455" t="e">
        <f>VLOOKUP(G1207,Table!$G$3:$H$21,2,FALSE)</f>
        <v>#N/A</v>
      </c>
      <c r="E1207" s="452" t="s">
        <v>902</v>
      </c>
      <c r="F1207" s="452" t="s">
        <v>1571</v>
      </c>
      <c r="G1207" s="452" t="s">
        <v>1517</v>
      </c>
      <c r="H1207" s="452" t="s">
        <v>998</v>
      </c>
      <c r="I1207" s="453" t="s">
        <v>844</v>
      </c>
      <c r="J1207" s="453">
        <v>37232</v>
      </c>
      <c r="K1207" s="461">
        <v>10248</v>
      </c>
      <c r="L1207" s="461">
        <v>9738</v>
      </c>
      <c r="M1207" s="461">
        <v>17246</v>
      </c>
      <c r="N1207" s="461">
        <v>0</v>
      </c>
      <c r="O1207" s="461">
        <v>0</v>
      </c>
      <c r="P1207" s="461">
        <v>0</v>
      </c>
      <c r="Q1207" s="461">
        <v>0</v>
      </c>
      <c r="R1207" s="461">
        <v>0</v>
      </c>
      <c r="S1207" s="461">
        <v>0</v>
      </c>
      <c r="T1207" s="461">
        <v>0</v>
      </c>
      <c r="U1207" s="461">
        <v>0</v>
      </c>
      <c r="V1207" s="461">
        <v>0</v>
      </c>
    </row>
    <row r="1208" spans="1:22" s="455" customFormat="1" hidden="1">
      <c r="A1208" s="455" t="str">
        <f t="shared" si="36"/>
        <v>18305300801500</v>
      </c>
      <c r="B1208" s="455" t="str">
        <f>VLOOKUP(LEFT($C$3:$C$2600,3),Table!$D$2:$E$88,2,FALSE)</f>
        <v>Selling &amp; admin expenses</v>
      </c>
      <c r="C1208" s="455" t="str">
        <f t="shared" si="37"/>
        <v>5300801500</v>
      </c>
      <c r="D1208" s="455" t="e">
        <f>VLOOKUP(G1208,Table!$G$3:$H$21,2,FALSE)</f>
        <v>#N/A</v>
      </c>
      <c r="E1208" s="452" t="s">
        <v>902</v>
      </c>
      <c r="F1208" s="452" t="s">
        <v>1571</v>
      </c>
      <c r="G1208" s="452" t="s">
        <v>1518</v>
      </c>
      <c r="H1208" s="452" t="s">
        <v>1136</v>
      </c>
      <c r="I1208" s="453" t="s">
        <v>844</v>
      </c>
      <c r="J1208" s="453">
        <v>464.85</v>
      </c>
      <c r="K1208" s="461">
        <v>154.94999999999999</v>
      </c>
      <c r="L1208" s="461">
        <v>154.94999999999999</v>
      </c>
      <c r="M1208" s="461">
        <v>154.94999999999999</v>
      </c>
      <c r="N1208" s="461">
        <v>0</v>
      </c>
      <c r="O1208" s="461">
        <v>0</v>
      </c>
      <c r="P1208" s="461">
        <v>0</v>
      </c>
      <c r="Q1208" s="461">
        <v>0</v>
      </c>
      <c r="R1208" s="461">
        <v>0</v>
      </c>
      <c r="S1208" s="461">
        <v>0</v>
      </c>
      <c r="T1208" s="461">
        <v>0</v>
      </c>
      <c r="U1208" s="461">
        <v>0</v>
      </c>
      <c r="V1208" s="461">
        <v>0</v>
      </c>
    </row>
    <row r="1209" spans="1:22" s="455" customFormat="1" hidden="1">
      <c r="A1209" s="455" t="str">
        <f t="shared" si="36"/>
        <v>18305300801600</v>
      </c>
      <c r="B1209" s="455" t="str">
        <f>VLOOKUP(LEFT($C$3:$C$2600,3),Table!$D$2:$E$88,2,FALSE)</f>
        <v>Selling &amp; admin expenses</v>
      </c>
      <c r="C1209" s="455" t="str">
        <f t="shared" si="37"/>
        <v>5300801600</v>
      </c>
      <c r="D1209" s="455" t="e">
        <f>VLOOKUP(G1209,Table!$G$3:$H$21,2,FALSE)</f>
        <v>#N/A</v>
      </c>
      <c r="E1209" s="452" t="s">
        <v>902</v>
      </c>
      <c r="F1209" s="452" t="s">
        <v>1571</v>
      </c>
      <c r="G1209" s="452" t="s">
        <v>1519</v>
      </c>
      <c r="H1209" s="452" t="s">
        <v>1002</v>
      </c>
      <c r="I1209" s="453" t="s">
        <v>844</v>
      </c>
      <c r="J1209" s="453">
        <v>85222</v>
      </c>
      <c r="K1209" s="461">
        <v>26752</v>
      </c>
      <c r="L1209" s="461">
        <v>23991</v>
      </c>
      <c r="M1209" s="461">
        <v>34479</v>
      </c>
      <c r="N1209" s="461">
        <v>0</v>
      </c>
      <c r="O1209" s="461">
        <v>0</v>
      </c>
      <c r="P1209" s="461">
        <v>0</v>
      </c>
      <c r="Q1209" s="461">
        <v>0</v>
      </c>
      <c r="R1209" s="461">
        <v>0</v>
      </c>
      <c r="S1209" s="461">
        <v>0</v>
      </c>
      <c r="T1209" s="461">
        <v>0</v>
      </c>
      <c r="U1209" s="461">
        <v>0</v>
      </c>
      <c r="V1209" s="461">
        <v>0</v>
      </c>
    </row>
    <row r="1210" spans="1:22" s="455" customFormat="1" hidden="1">
      <c r="A1210" s="455" t="str">
        <f t="shared" si="36"/>
        <v>18305300801900</v>
      </c>
      <c r="B1210" s="455" t="str">
        <f>VLOOKUP(LEFT($C$3:$C$2600,3),Table!$D$2:$E$88,2,FALSE)</f>
        <v>Selling &amp; admin expenses</v>
      </c>
      <c r="C1210" s="455" t="str">
        <f t="shared" si="37"/>
        <v>5300801900</v>
      </c>
      <c r="D1210" s="455" t="e">
        <f>VLOOKUP(G1210,Table!$G$3:$H$21,2,FALSE)</f>
        <v>#N/A</v>
      </c>
      <c r="E1210" s="452" t="s">
        <v>902</v>
      </c>
      <c r="F1210" s="452" t="s">
        <v>1571</v>
      </c>
      <c r="G1210" s="452" t="s">
        <v>1520</v>
      </c>
      <c r="H1210" s="452" t="s">
        <v>1007</v>
      </c>
      <c r="I1210" s="453" t="s">
        <v>844</v>
      </c>
      <c r="J1210" s="453">
        <v>2280.0300000000002</v>
      </c>
      <c r="K1210" s="461">
        <v>815.3</v>
      </c>
      <c r="L1210" s="461">
        <v>731.15</v>
      </c>
      <c r="M1210" s="461">
        <v>733.58</v>
      </c>
      <c r="N1210" s="461">
        <v>0</v>
      </c>
      <c r="O1210" s="461">
        <v>0</v>
      </c>
      <c r="P1210" s="461">
        <v>0</v>
      </c>
      <c r="Q1210" s="461">
        <v>0</v>
      </c>
      <c r="R1210" s="461">
        <v>0</v>
      </c>
      <c r="S1210" s="461">
        <v>0</v>
      </c>
      <c r="T1210" s="461">
        <v>0</v>
      </c>
      <c r="U1210" s="461">
        <v>0</v>
      </c>
      <c r="V1210" s="461">
        <v>0</v>
      </c>
    </row>
    <row r="1211" spans="1:22" s="455" customFormat="1" hidden="1">
      <c r="A1211" s="455" t="str">
        <f t="shared" si="36"/>
        <v>18305301002000</v>
      </c>
      <c r="B1211" s="455" t="str">
        <f>VLOOKUP(LEFT($C$3:$C$2600,3),Table!$D$2:$E$88,2,FALSE)</f>
        <v>Selling &amp; admin expenses</v>
      </c>
      <c r="C1211" s="455" t="str">
        <f t="shared" si="37"/>
        <v>5301002000</v>
      </c>
      <c r="D1211" s="455" t="e">
        <f>VLOOKUP(G1211,Table!$G$3:$H$21,2,FALSE)</f>
        <v>#N/A</v>
      </c>
      <c r="E1211" s="452" t="s">
        <v>902</v>
      </c>
      <c r="F1211" s="452" t="s">
        <v>1571</v>
      </c>
      <c r="G1211" s="452" t="s">
        <v>1574</v>
      </c>
      <c r="H1211" s="452" t="s">
        <v>1575</v>
      </c>
      <c r="I1211" s="453" t="s">
        <v>844</v>
      </c>
      <c r="J1211" s="453">
        <v>-740741.31</v>
      </c>
      <c r="K1211" s="461">
        <v>11545.17</v>
      </c>
      <c r="L1211" s="461">
        <v>83309.539999999994</v>
      </c>
      <c r="M1211" s="461">
        <v>-234285.64</v>
      </c>
      <c r="N1211" s="461">
        <v>0</v>
      </c>
      <c r="O1211" s="461">
        <v>0</v>
      </c>
      <c r="P1211" s="461">
        <v>0</v>
      </c>
      <c r="Q1211" s="461">
        <v>0</v>
      </c>
      <c r="R1211" s="461">
        <v>0</v>
      </c>
      <c r="S1211" s="461">
        <v>0</v>
      </c>
      <c r="T1211" s="461">
        <v>0</v>
      </c>
      <c r="U1211" s="461">
        <v>0</v>
      </c>
      <c r="V1211" s="461">
        <v>0</v>
      </c>
    </row>
    <row r="1212" spans="1:22" s="455" customFormat="1" hidden="1">
      <c r="A1212" s="455" t="str">
        <f t="shared" si="36"/>
        <v>18305301501100</v>
      </c>
      <c r="B1212" s="455" t="str">
        <f>VLOOKUP(LEFT($C$3:$C$2600,3),Table!$D$2:$E$88,2,FALSE)</f>
        <v>Selling &amp; admin expenses</v>
      </c>
      <c r="C1212" s="455" t="str">
        <f t="shared" si="37"/>
        <v>5301501100</v>
      </c>
      <c r="D1212" s="455" t="e">
        <f>VLOOKUP(G1212,Table!$G$3:$H$21,2,FALSE)</f>
        <v>#N/A</v>
      </c>
      <c r="E1212" s="452" t="s">
        <v>902</v>
      </c>
      <c r="F1212" s="452" t="s">
        <v>1571</v>
      </c>
      <c r="G1212" s="452" t="s">
        <v>1521</v>
      </c>
      <c r="H1212" s="452" t="s">
        <v>1010</v>
      </c>
      <c r="I1212" s="453" t="s">
        <v>844</v>
      </c>
      <c r="J1212" s="453">
        <v>33</v>
      </c>
      <c r="K1212" s="461">
        <v>33</v>
      </c>
      <c r="L1212" s="461">
        <v>0</v>
      </c>
      <c r="M1212" s="461">
        <v>0</v>
      </c>
      <c r="N1212" s="461">
        <v>0</v>
      </c>
      <c r="O1212" s="461">
        <v>0</v>
      </c>
      <c r="P1212" s="461">
        <v>0</v>
      </c>
      <c r="Q1212" s="461">
        <v>0</v>
      </c>
      <c r="R1212" s="461">
        <v>0</v>
      </c>
      <c r="S1212" s="461">
        <v>0</v>
      </c>
      <c r="T1212" s="461">
        <v>0</v>
      </c>
      <c r="U1212" s="461">
        <v>0</v>
      </c>
      <c r="V1212" s="461">
        <v>0</v>
      </c>
    </row>
    <row r="1213" spans="1:22" s="455" customFormat="1" hidden="1">
      <c r="A1213" s="455" t="str">
        <f t="shared" si="36"/>
        <v>18305301501311</v>
      </c>
      <c r="B1213" s="455" t="str">
        <f>VLOOKUP(LEFT($C$3:$C$2600,3),Table!$D$2:$E$88,2,FALSE)</f>
        <v>Selling &amp; admin expenses</v>
      </c>
      <c r="C1213" s="455" t="str">
        <f t="shared" si="37"/>
        <v>5301501311</v>
      </c>
      <c r="D1213" s="455" t="e">
        <f>VLOOKUP(G1213,Table!$G$3:$H$21,2,FALSE)</f>
        <v>#N/A</v>
      </c>
      <c r="E1213" s="452" t="s">
        <v>902</v>
      </c>
      <c r="F1213" s="452" t="s">
        <v>1571</v>
      </c>
      <c r="G1213" s="452" t="s">
        <v>2561</v>
      </c>
      <c r="H1213" s="452" t="s">
        <v>2562</v>
      </c>
      <c r="I1213" s="453" t="s">
        <v>844</v>
      </c>
      <c r="J1213" s="453">
        <v>0</v>
      </c>
      <c r="K1213" s="461">
        <v>0</v>
      </c>
      <c r="L1213" s="461">
        <v>0</v>
      </c>
      <c r="M1213" s="461">
        <v>439.7</v>
      </c>
      <c r="N1213" s="461">
        <v>0</v>
      </c>
      <c r="O1213" s="461">
        <v>0</v>
      </c>
      <c r="P1213" s="461">
        <v>0</v>
      </c>
      <c r="Q1213" s="461">
        <v>0</v>
      </c>
      <c r="R1213" s="461">
        <v>0</v>
      </c>
      <c r="S1213" s="461">
        <v>0</v>
      </c>
      <c r="T1213" s="461">
        <v>0</v>
      </c>
      <c r="U1213" s="461">
        <v>0</v>
      </c>
      <c r="V1213" s="461">
        <v>0</v>
      </c>
    </row>
    <row r="1214" spans="1:22" s="455" customFormat="1" hidden="1">
      <c r="A1214" s="455" t="str">
        <f t="shared" si="36"/>
        <v>18305301501319</v>
      </c>
      <c r="B1214" s="455" t="str">
        <f>VLOOKUP(LEFT($C$3:$C$2600,3),Table!$D$2:$E$88,2,FALSE)</f>
        <v>Selling &amp; admin expenses</v>
      </c>
      <c r="C1214" s="455" t="str">
        <f t="shared" si="37"/>
        <v>5301501319</v>
      </c>
      <c r="D1214" s="455" t="e">
        <f>VLOOKUP(G1214,Table!$G$3:$H$21,2,FALSE)</f>
        <v>#N/A</v>
      </c>
      <c r="E1214" s="452" t="s">
        <v>902</v>
      </c>
      <c r="F1214" s="452" t="s">
        <v>1571</v>
      </c>
      <c r="G1214" s="452" t="s">
        <v>1576</v>
      </c>
      <c r="H1214" s="452" t="s">
        <v>1397</v>
      </c>
      <c r="I1214" s="453" t="s">
        <v>844</v>
      </c>
      <c r="J1214" s="453">
        <v>1042.9100000000001</v>
      </c>
      <c r="K1214" s="461">
        <v>1042.9100000000001</v>
      </c>
      <c r="L1214" s="461">
        <v>0</v>
      </c>
      <c r="M1214" s="461">
        <v>0</v>
      </c>
      <c r="N1214" s="461">
        <v>0</v>
      </c>
      <c r="O1214" s="461">
        <v>0</v>
      </c>
      <c r="P1214" s="461">
        <v>0</v>
      </c>
      <c r="Q1214" s="461">
        <v>0</v>
      </c>
      <c r="R1214" s="461">
        <v>0</v>
      </c>
      <c r="S1214" s="461">
        <v>0</v>
      </c>
      <c r="T1214" s="461">
        <v>0</v>
      </c>
      <c r="U1214" s="461">
        <v>0</v>
      </c>
      <c r="V1214" s="461">
        <v>0</v>
      </c>
    </row>
    <row r="1215" spans="1:22" s="455" customFormat="1" hidden="1">
      <c r="A1215" s="455" t="str">
        <f t="shared" si="36"/>
        <v>18305301501363</v>
      </c>
      <c r="B1215" s="455" t="str">
        <f>VLOOKUP(LEFT($C$3:$C$2600,3),Table!$D$2:$E$88,2,FALSE)</f>
        <v>Selling &amp; admin expenses</v>
      </c>
      <c r="C1215" s="455" t="str">
        <f t="shared" si="37"/>
        <v>5301501363</v>
      </c>
      <c r="D1215" s="455" t="e">
        <f>VLOOKUP(G1215,Table!$G$3:$H$21,2,FALSE)</f>
        <v>#N/A</v>
      </c>
      <c r="E1215" s="452" t="s">
        <v>902</v>
      </c>
      <c r="F1215" s="452" t="s">
        <v>1571</v>
      </c>
      <c r="G1215" s="452" t="s">
        <v>1577</v>
      </c>
      <c r="H1215" s="452" t="s">
        <v>1578</v>
      </c>
      <c r="I1215" s="453" t="s">
        <v>844</v>
      </c>
      <c r="J1215" s="453">
        <v>1345.26</v>
      </c>
      <c r="K1215" s="461">
        <v>549.41999999999996</v>
      </c>
      <c r="L1215" s="461">
        <v>480.5</v>
      </c>
      <c r="M1215" s="461">
        <v>652.6</v>
      </c>
      <c r="N1215" s="461">
        <v>0</v>
      </c>
      <c r="O1215" s="461">
        <v>0</v>
      </c>
      <c r="P1215" s="461">
        <v>0</v>
      </c>
      <c r="Q1215" s="461">
        <v>0</v>
      </c>
      <c r="R1215" s="461">
        <v>0</v>
      </c>
      <c r="S1215" s="461">
        <v>0</v>
      </c>
      <c r="T1215" s="461">
        <v>0</v>
      </c>
      <c r="U1215" s="461">
        <v>0</v>
      </c>
      <c r="V1215" s="461">
        <v>0</v>
      </c>
    </row>
    <row r="1216" spans="1:22" s="455" customFormat="1" hidden="1">
      <c r="A1216" s="455" t="str">
        <f t="shared" si="36"/>
        <v>18305301501400</v>
      </c>
      <c r="B1216" s="455" t="str">
        <f>VLOOKUP(LEFT($C$3:$C$2600,3),Table!$D$2:$E$88,2,FALSE)</f>
        <v>Selling &amp; admin expenses</v>
      </c>
      <c r="C1216" s="455" t="str">
        <f t="shared" si="37"/>
        <v>5301501400</v>
      </c>
      <c r="D1216" s="455" t="e">
        <f>VLOOKUP(G1216,Table!$G$3:$H$21,2,FALSE)</f>
        <v>#N/A</v>
      </c>
      <c r="E1216" s="452" t="s">
        <v>902</v>
      </c>
      <c r="F1216" s="452" t="s">
        <v>1571</v>
      </c>
      <c r="G1216" s="452" t="s">
        <v>1522</v>
      </c>
      <c r="H1216" s="452" t="s">
        <v>1523</v>
      </c>
      <c r="I1216" s="453" t="s">
        <v>844</v>
      </c>
      <c r="J1216" s="453">
        <v>534.5</v>
      </c>
      <c r="K1216" s="461">
        <v>230</v>
      </c>
      <c r="L1216" s="461">
        <v>104.5</v>
      </c>
      <c r="M1216" s="461">
        <v>561</v>
      </c>
      <c r="N1216" s="461">
        <v>0</v>
      </c>
      <c r="O1216" s="461">
        <v>0</v>
      </c>
      <c r="P1216" s="461">
        <v>0</v>
      </c>
      <c r="Q1216" s="461">
        <v>0</v>
      </c>
      <c r="R1216" s="461">
        <v>0</v>
      </c>
      <c r="S1216" s="461">
        <v>0</v>
      </c>
      <c r="T1216" s="461">
        <v>0</v>
      </c>
      <c r="U1216" s="461">
        <v>0</v>
      </c>
      <c r="V1216" s="461">
        <v>0</v>
      </c>
    </row>
    <row r="1217" spans="1:22" s="455" customFormat="1" hidden="1">
      <c r="A1217" s="455" t="str">
        <f t="shared" si="36"/>
        <v>18305301502000</v>
      </c>
      <c r="B1217" s="455" t="str">
        <f>VLOOKUP(LEFT($C$3:$C$2600,3),Table!$D$2:$E$88,2,FALSE)</f>
        <v>Selling &amp; admin expenses</v>
      </c>
      <c r="C1217" s="455" t="str">
        <f t="shared" si="37"/>
        <v>5301502000</v>
      </c>
      <c r="D1217" s="455" t="e">
        <f>VLOOKUP(G1217,Table!$G$3:$H$21,2,FALSE)</f>
        <v>#N/A</v>
      </c>
      <c r="E1217" s="452" t="s">
        <v>902</v>
      </c>
      <c r="F1217" s="452" t="s">
        <v>1571</v>
      </c>
      <c r="G1217" s="452" t="s">
        <v>1544</v>
      </c>
      <c r="H1217" s="452" t="s">
        <v>1545</v>
      </c>
      <c r="I1217" s="453" t="s">
        <v>844</v>
      </c>
      <c r="J1217" s="453">
        <v>0</v>
      </c>
      <c r="K1217" s="461">
        <v>0</v>
      </c>
      <c r="L1217" s="461">
        <v>0</v>
      </c>
      <c r="M1217" s="461">
        <v>2476</v>
      </c>
      <c r="N1217" s="461">
        <v>0</v>
      </c>
      <c r="O1217" s="461">
        <v>0</v>
      </c>
      <c r="P1217" s="461">
        <v>0</v>
      </c>
      <c r="Q1217" s="461">
        <v>0</v>
      </c>
      <c r="R1217" s="461">
        <v>0</v>
      </c>
      <c r="S1217" s="461">
        <v>0</v>
      </c>
      <c r="T1217" s="461">
        <v>0</v>
      </c>
      <c r="U1217" s="461">
        <v>0</v>
      </c>
      <c r="V1217" s="461">
        <v>0</v>
      </c>
    </row>
    <row r="1218" spans="1:22" s="455" customFormat="1" hidden="1">
      <c r="A1218" s="455" t="str">
        <f t="shared" si="36"/>
        <v>18305301502200</v>
      </c>
      <c r="B1218" s="455" t="str">
        <f>VLOOKUP(LEFT($C$3:$C$2600,3),Table!$D$2:$E$88,2,FALSE)</f>
        <v>Selling &amp; admin expenses</v>
      </c>
      <c r="C1218" s="455" t="str">
        <f t="shared" si="37"/>
        <v>5301502200</v>
      </c>
      <c r="D1218" s="455" t="e">
        <f>VLOOKUP(G1218,Table!$G$3:$H$21,2,FALSE)</f>
        <v>#N/A</v>
      </c>
      <c r="E1218" s="452" t="s">
        <v>902</v>
      </c>
      <c r="F1218" s="452" t="s">
        <v>1571</v>
      </c>
      <c r="G1218" s="452" t="s">
        <v>1546</v>
      </c>
      <c r="H1218" s="452" t="s">
        <v>1547</v>
      </c>
      <c r="I1218" s="453" t="s">
        <v>844</v>
      </c>
      <c r="J1218" s="453">
        <v>0</v>
      </c>
      <c r="K1218" s="461">
        <v>0</v>
      </c>
      <c r="L1218" s="461">
        <v>0</v>
      </c>
      <c r="M1218" s="461">
        <v>10.27</v>
      </c>
      <c r="N1218" s="461">
        <v>0</v>
      </c>
      <c r="O1218" s="461">
        <v>0</v>
      </c>
      <c r="P1218" s="461">
        <v>0</v>
      </c>
      <c r="Q1218" s="461">
        <v>0</v>
      </c>
      <c r="R1218" s="461">
        <v>0</v>
      </c>
      <c r="S1218" s="461">
        <v>0</v>
      </c>
      <c r="T1218" s="461">
        <v>0</v>
      </c>
      <c r="U1218" s="461">
        <v>0</v>
      </c>
      <c r="V1218" s="461">
        <v>0</v>
      </c>
    </row>
    <row r="1219" spans="1:22" s="455" customFormat="1" hidden="1">
      <c r="A1219" s="455" t="str">
        <f t="shared" si="36"/>
        <v>18305301601000</v>
      </c>
      <c r="B1219" s="455" t="str">
        <f>VLOOKUP(LEFT($C$3:$C$2600,3),Table!$D$2:$E$88,2,FALSE)</f>
        <v>Selling &amp; admin expenses</v>
      </c>
      <c r="C1219" s="455" t="str">
        <f t="shared" si="37"/>
        <v>5301601000</v>
      </c>
      <c r="D1219" s="455" t="e">
        <f>VLOOKUP(G1219,Table!$G$3:$H$21,2,FALSE)</f>
        <v>#N/A</v>
      </c>
      <c r="E1219" s="452" t="s">
        <v>902</v>
      </c>
      <c r="F1219" s="452" t="s">
        <v>1571</v>
      </c>
      <c r="G1219" s="452" t="s">
        <v>1524</v>
      </c>
      <c r="H1219" s="452" t="s">
        <v>1014</v>
      </c>
      <c r="I1219" s="453" t="s">
        <v>844</v>
      </c>
      <c r="J1219" s="453">
        <v>0</v>
      </c>
      <c r="K1219" s="461">
        <v>0</v>
      </c>
      <c r="L1219" s="461">
        <v>0</v>
      </c>
      <c r="M1219" s="461">
        <v>52.2</v>
      </c>
      <c r="N1219" s="461">
        <v>0</v>
      </c>
      <c r="O1219" s="461">
        <v>0</v>
      </c>
      <c r="P1219" s="461">
        <v>0</v>
      </c>
      <c r="Q1219" s="461">
        <v>0</v>
      </c>
      <c r="R1219" s="461">
        <v>0</v>
      </c>
      <c r="S1219" s="461">
        <v>0</v>
      </c>
      <c r="T1219" s="461">
        <v>0</v>
      </c>
      <c r="U1219" s="461">
        <v>0</v>
      </c>
      <c r="V1219" s="461">
        <v>0</v>
      </c>
    </row>
    <row r="1220" spans="1:22" s="455" customFormat="1" hidden="1">
      <c r="A1220" s="455" t="str">
        <f t="shared" ref="A1220:A1283" si="38">F1220&amp;G1220</f>
        <v>18305301601001</v>
      </c>
      <c r="B1220" s="455" t="str">
        <f>VLOOKUP(LEFT($C$3:$C$2600,3),Table!$D$2:$E$88,2,FALSE)</f>
        <v>Selling &amp; admin expenses</v>
      </c>
      <c r="C1220" s="455" t="str">
        <f t="shared" ref="C1220:C1283" si="39">IF(ISNA(D1220),G1220,D1220)</f>
        <v>5301601001</v>
      </c>
      <c r="D1220" s="455" t="e">
        <f>VLOOKUP(G1220,Table!$G$3:$H$21,2,FALSE)</f>
        <v>#N/A</v>
      </c>
      <c r="E1220" s="452" t="s">
        <v>902</v>
      </c>
      <c r="F1220" s="452" t="s">
        <v>1571</v>
      </c>
      <c r="G1220" s="452" t="s">
        <v>1525</v>
      </c>
      <c r="H1220" s="452" t="s">
        <v>1016</v>
      </c>
      <c r="I1220" s="453" t="s">
        <v>844</v>
      </c>
      <c r="J1220" s="453">
        <v>250</v>
      </c>
      <c r="K1220" s="461">
        <v>140</v>
      </c>
      <c r="L1220" s="461">
        <v>80</v>
      </c>
      <c r="M1220" s="461">
        <v>1409.28</v>
      </c>
      <c r="N1220" s="461">
        <v>0</v>
      </c>
      <c r="O1220" s="461">
        <v>0</v>
      </c>
      <c r="P1220" s="461">
        <v>0</v>
      </c>
      <c r="Q1220" s="461">
        <v>0</v>
      </c>
      <c r="R1220" s="461">
        <v>0</v>
      </c>
      <c r="S1220" s="461">
        <v>0</v>
      </c>
      <c r="T1220" s="461">
        <v>0</v>
      </c>
      <c r="U1220" s="461">
        <v>0</v>
      </c>
      <c r="V1220" s="461">
        <v>0</v>
      </c>
    </row>
    <row r="1221" spans="1:22" s="455" customFormat="1" hidden="1">
      <c r="A1221" s="455" t="str">
        <f t="shared" si="38"/>
        <v>18305301601100</v>
      </c>
      <c r="B1221" s="455" t="str">
        <f>VLOOKUP(LEFT($C$3:$C$2600,3),Table!$D$2:$E$88,2,FALSE)</f>
        <v>Selling &amp; admin expenses</v>
      </c>
      <c r="C1221" s="455" t="str">
        <f t="shared" si="39"/>
        <v>5301601100</v>
      </c>
      <c r="D1221" s="455" t="e">
        <f>VLOOKUP(G1221,Table!$G$3:$H$21,2,FALSE)</f>
        <v>#N/A</v>
      </c>
      <c r="E1221" s="452" t="s">
        <v>902</v>
      </c>
      <c r="F1221" s="452" t="s">
        <v>1571</v>
      </c>
      <c r="G1221" s="452" t="s">
        <v>1579</v>
      </c>
      <c r="H1221" s="452" t="s">
        <v>1580</v>
      </c>
      <c r="I1221" s="453" t="s">
        <v>844</v>
      </c>
      <c r="J1221" s="453">
        <v>175</v>
      </c>
      <c r="K1221" s="461">
        <v>0</v>
      </c>
      <c r="L1221" s="461">
        <v>175</v>
      </c>
      <c r="M1221" s="461">
        <v>4320</v>
      </c>
      <c r="N1221" s="461">
        <v>0</v>
      </c>
      <c r="O1221" s="461">
        <v>0</v>
      </c>
      <c r="P1221" s="461">
        <v>0</v>
      </c>
      <c r="Q1221" s="461">
        <v>0</v>
      </c>
      <c r="R1221" s="461">
        <v>0</v>
      </c>
      <c r="S1221" s="461">
        <v>0</v>
      </c>
      <c r="T1221" s="461">
        <v>0</v>
      </c>
      <c r="U1221" s="461">
        <v>0</v>
      </c>
      <c r="V1221" s="461">
        <v>0</v>
      </c>
    </row>
    <row r="1222" spans="1:22" s="455" customFormat="1" hidden="1">
      <c r="A1222" s="455" t="str">
        <f t="shared" si="38"/>
        <v>18305301602100</v>
      </c>
      <c r="B1222" s="455" t="str">
        <f>VLOOKUP(LEFT($C$3:$C$2600,3),Table!$D$2:$E$88,2,FALSE)</f>
        <v>Selling &amp; admin expenses</v>
      </c>
      <c r="C1222" s="455" t="str">
        <f t="shared" si="39"/>
        <v>5301602100</v>
      </c>
      <c r="D1222" s="455" t="e">
        <f>VLOOKUP(G1222,Table!$G$3:$H$21,2,FALSE)</f>
        <v>#N/A</v>
      </c>
      <c r="E1222" s="452" t="s">
        <v>902</v>
      </c>
      <c r="F1222" s="452" t="s">
        <v>1571</v>
      </c>
      <c r="G1222" s="452" t="s">
        <v>1581</v>
      </c>
      <c r="H1222" s="452" t="s">
        <v>1582</v>
      </c>
      <c r="I1222" s="453" t="s">
        <v>844</v>
      </c>
      <c r="J1222" s="453">
        <v>0</v>
      </c>
      <c r="K1222" s="461">
        <v>0</v>
      </c>
      <c r="L1222" s="461">
        <v>0</v>
      </c>
      <c r="M1222" s="461">
        <v>241.37</v>
      </c>
      <c r="N1222" s="461">
        <v>0</v>
      </c>
      <c r="O1222" s="461">
        <v>0</v>
      </c>
      <c r="P1222" s="461">
        <v>0</v>
      </c>
      <c r="Q1222" s="461">
        <v>0</v>
      </c>
      <c r="R1222" s="461">
        <v>0</v>
      </c>
      <c r="S1222" s="461">
        <v>0</v>
      </c>
      <c r="T1222" s="461">
        <v>0</v>
      </c>
      <c r="U1222" s="461">
        <v>0</v>
      </c>
      <c r="V1222" s="461">
        <v>0</v>
      </c>
    </row>
    <row r="1223" spans="1:22" s="455" customFormat="1" hidden="1">
      <c r="A1223" s="455" t="str">
        <f t="shared" si="38"/>
        <v>18305301701010</v>
      </c>
      <c r="B1223" s="455" t="str">
        <f>VLOOKUP(LEFT($C$3:$C$2600,3),Table!$D$2:$E$88,2,FALSE)</f>
        <v>Selling &amp; admin expenses</v>
      </c>
      <c r="C1223" s="455" t="str">
        <f t="shared" si="39"/>
        <v>5301701010</v>
      </c>
      <c r="D1223" s="455" t="e">
        <f>VLOOKUP(G1223,Table!$G$3:$H$21,2,FALSE)</f>
        <v>#N/A</v>
      </c>
      <c r="E1223" s="452" t="s">
        <v>902</v>
      </c>
      <c r="F1223" s="452" t="s">
        <v>1571</v>
      </c>
      <c r="G1223" s="452" t="s">
        <v>1550</v>
      </c>
      <c r="H1223" s="452" t="s">
        <v>1551</v>
      </c>
      <c r="I1223" s="453" t="s">
        <v>844</v>
      </c>
      <c r="J1223" s="453">
        <v>1738.79</v>
      </c>
      <c r="K1223" s="461">
        <v>334.98</v>
      </c>
      <c r="L1223" s="461">
        <v>1283.22</v>
      </c>
      <c r="M1223" s="461">
        <v>3009.34</v>
      </c>
      <c r="N1223" s="461">
        <v>0</v>
      </c>
      <c r="O1223" s="461">
        <v>0</v>
      </c>
      <c r="P1223" s="461">
        <v>0</v>
      </c>
      <c r="Q1223" s="461">
        <v>0</v>
      </c>
      <c r="R1223" s="461">
        <v>0</v>
      </c>
      <c r="S1223" s="461">
        <v>0</v>
      </c>
      <c r="T1223" s="461">
        <v>0</v>
      </c>
      <c r="U1223" s="461">
        <v>0</v>
      </c>
      <c r="V1223" s="461">
        <v>0</v>
      </c>
    </row>
    <row r="1224" spans="1:22" s="455" customFormat="1" hidden="1">
      <c r="A1224" s="455" t="str">
        <f t="shared" si="38"/>
        <v>18305301701200</v>
      </c>
      <c r="B1224" s="455" t="str">
        <f>VLOOKUP(LEFT($C$3:$C$2600,3),Table!$D$2:$E$88,2,FALSE)</f>
        <v>Selling &amp; admin expenses</v>
      </c>
      <c r="C1224" s="455" t="str">
        <f t="shared" si="39"/>
        <v>5301701200</v>
      </c>
      <c r="D1224" s="455" t="e">
        <f>VLOOKUP(G1224,Table!$G$3:$H$21,2,FALSE)</f>
        <v>#N/A</v>
      </c>
      <c r="E1224" s="452" t="s">
        <v>902</v>
      </c>
      <c r="F1224" s="452" t="s">
        <v>1571</v>
      </c>
      <c r="G1224" s="452" t="s">
        <v>1583</v>
      </c>
      <c r="H1224" s="452" t="s">
        <v>1584</v>
      </c>
      <c r="I1224" s="453" t="s">
        <v>844</v>
      </c>
      <c r="J1224" s="453">
        <v>468.9</v>
      </c>
      <c r="K1224" s="461">
        <v>309.89999999999998</v>
      </c>
      <c r="L1224" s="461">
        <v>52.7</v>
      </c>
      <c r="M1224" s="461">
        <v>53.1</v>
      </c>
      <c r="N1224" s="461">
        <v>0</v>
      </c>
      <c r="O1224" s="461">
        <v>0</v>
      </c>
      <c r="P1224" s="461">
        <v>0</v>
      </c>
      <c r="Q1224" s="461">
        <v>0</v>
      </c>
      <c r="R1224" s="461">
        <v>0</v>
      </c>
      <c r="S1224" s="461">
        <v>0</v>
      </c>
      <c r="T1224" s="461">
        <v>0</v>
      </c>
      <c r="U1224" s="461">
        <v>0</v>
      </c>
      <c r="V1224" s="461">
        <v>0</v>
      </c>
    </row>
    <row r="1225" spans="1:22" s="455" customFormat="1" hidden="1">
      <c r="A1225" s="455" t="str">
        <f t="shared" si="38"/>
        <v>18305301801100</v>
      </c>
      <c r="B1225" s="455" t="str">
        <f>VLOOKUP(LEFT($C$3:$C$2600,3),Table!$D$2:$E$88,2,FALSE)</f>
        <v>Selling &amp; admin expenses</v>
      </c>
      <c r="C1225" s="455" t="str">
        <f t="shared" si="39"/>
        <v>5301801100</v>
      </c>
      <c r="D1225" s="455" t="e">
        <f>VLOOKUP(G1225,Table!$G$3:$H$21,2,FALSE)</f>
        <v>#N/A</v>
      </c>
      <c r="E1225" s="452" t="s">
        <v>902</v>
      </c>
      <c r="F1225" s="452" t="s">
        <v>1571</v>
      </c>
      <c r="G1225" s="452" t="s">
        <v>1526</v>
      </c>
      <c r="H1225" s="452" t="s">
        <v>1527</v>
      </c>
      <c r="I1225" s="453" t="s">
        <v>844</v>
      </c>
      <c r="J1225" s="453">
        <v>268.7</v>
      </c>
      <c r="K1225" s="461">
        <v>0</v>
      </c>
      <c r="L1225" s="461">
        <v>0</v>
      </c>
      <c r="M1225" s="461">
        <v>268.7</v>
      </c>
      <c r="N1225" s="461">
        <v>0</v>
      </c>
      <c r="O1225" s="461">
        <v>0</v>
      </c>
      <c r="P1225" s="461">
        <v>0</v>
      </c>
      <c r="Q1225" s="461">
        <v>0</v>
      </c>
      <c r="R1225" s="461">
        <v>0</v>
      </c>
      <c r="S1225" s="461">
        <v>0</v>
      </c>
      <c r="T1225" s="461">
        <v>0</v>
      </c>
      <c r="U1225" s="461">
        <v>0</v>
      </c>
      <c r="V1225" s="461">
        <v>0</v>
      </c>
    </row>
    <row r="1226" spans="1:22" s="455" customFormat="1" hidden="1">
      <c r="A1226" s="455" t="str">
        <f t="shared" si="38"/>
        <v>18305301801500</v>
      </c>
      <c r="B1226" s="455" t="str">
        <f>VLOOKUP(LEFT($C$3:$C$2600,3),Table!$D$2:$E$88,2,FALSE)</f>
        <v>Selling &amp; admin expenses</v>
      </c>
      <c r="C1226" s="455" t="str">
        <f t="shared" si="39"/>
        <v>5301801500</v>
      </c>
      <c r="D1226" s="455" t="e">
        <f>VLOOKUP(G1226,Table!$G$3:$H$21,2,FALSE)</f>
        <v>#N/A</v>
      </c>
      <c r="E1226" s="452" t="s">
        <v>902</v>
      </c>
      <c r="F1226" s="452" t="s">
        <v>1571</v>
      </c>
      <c r="G1226" s="452" t="s">
        <v>1552</v>
      </c>
      <c r="H1226" s="452" t="s">
        <v>1553</v>
      </c>
      <c r="I1226" s="453" t="s">
        <v>844</v>
      </c>
      <c r="J1226" s="453">
        <v>46.73</v>
      </c>
      <c r="K1226" s="461">
        <v>46.73</v>
      </c>
      <c r="L1226" s="461">
        <v>0</v>
      </c>
      <c r="M1226" s="461">
        <v>0</v>
      </c>
      <c r="N1226" s="461">
        <v>0</v>
      </c>
      <c r="O1226" s="461">
        <v>0</v>
      </c>
      <c r="P1226" s="461">
        <v>0</v>
      </c>
      <c r="Q1226" s="461">
        <v>0</v>
      </c>
      <c r="R1226" s="461">
        <v>0</v>
      </c>
      <c r="S1226" s="461">
        <v>0</v>
      </c>
      <c r="T1226" s="461">
        <v>0</v>
      </c>
      <c r="U1226" s="461">
        <v>0</v>
      </c>
      <c r="V1226" s="461">
        <v>0</v>
      </c>
    </row>
    <row r="1227" spans="1:22" s="455" customFormat="1" hidden="1">
      <c r="A1227" s="455" t="str">
        <f t="shared" si="38"/>
        <v>18305301801800</v>
      </c>
      <c r="B1227" s="455" t="str">
        <f>VLOOKUP(LEFT($C$3:$C$2600,3),Table!$D$2:$E$88,2,FALSE)</f>
        <v>Selling &amp; admin expenses</v>
      </c>
      <c r="C1227" s="455" t="str">
        <f t="shared" si="39"/>
        <v>5301801800</v>
      </c>
      <c r="D1227" s="455" t="e">
        <f>VLOOKUP(G1227,Table!$G$3:$H$21,2,FALSE)</f>
        <v>#N/A</v>
      </c>
      <c r="E1227" s="452" t="s">
        <v>902</v>
      </c>
      <c r="F1227" s="452" t="s">
        <v>1571</v>
      </c>
      <c r="G1227" s="452" t="s">
        <v>1531</v>
      </c>
      <c r="H1227" s="452" t="s">
        <v>1375</v>
      </c>
      <c r="I1227" s="453" t="s">
        <v>844</v>
      </c>
      <c r="J1227" s="453">
        <v>634.6</v>
      </c>
      <c r="K1227" s="461">
        <v>0</v>
      </c>
      <c r="L1227" s="461">
        <v>16.600000000000001</v>
      </c>
      <c r="M1227" s="461">
        <v>618</v>
      </c>
      <c r="N1227" s="461">
        <v>0</v>
      </c>
      <c r="O1227" s="461">
        <v>0</v>
      </c>
      <c r="P1227" s="461">
        <v>0</v>
      </c>
      <c r="Q1227" s="461">
        <v>0</v>
      </c>
      <c r="R1227" s="461">
        <v>0</v>
      </c>
      <c r="S1227" s="461">
        <v>0</v>
      </c>
      <c r="T1227" s="461">
        <v>0</v>
      </c>
      <c r="U1227" s="461">
        <v>0</v>
      </c>
      <c r="V1227" s="461">
        <v>0</v>
      </c>
    </row>
    <row r="1228" spans="1:22" s="455" customFormat="1" hidden="1">
      <c r="A1228" s="455" t="str">
        <f t="shared" si="38"/>
        <v>18305302403000</v>
      </c>
      <c r="B1228" s="455" t="str">
        <f>VLOOKUP(LEFT($C$3:$C$2600,3),Table!$D$2:$E$88,2,FALSE)</f>
        <v>Selling &amp; admin expenses</v>
      </c>
      <c r="C1228" s="455" t="str">
        <f t="shared" si="39"/>
        <v>5302403000</v>
      </c>
      <c r="D1228" s="455" t="e">
        <f>VLOOKUP(G1228,Table!$G$3:$H$21,2,FALSE)</f>
        <v>#N/A</v>
      </c>
      <c r="E1228" s="452" t="s">
        <v>902</v>
      </c>
      <c r="F1228" s="452" t="s">
        <v>1571</v>
      </c>
      <c r="G1228" s="452" t="s">
        <v>1585</v>
      </c>
      <c r="H1228" s="452" t="s">
        <v>1586</v>
      </c>
      <c r="I1228" s="453" t="s">
        <v>844</v>
      </c>
      <c r="J1228" s="453">
        <v>33000</v>
      </c>
      <c r="K1228" s="461">
        <v>2600</v>
      </c>
      <c r="L1228" s="461">
        <v>5400</v>
      </c>
      <c r="M1228" s="461">
        <v>10032.07</v>
      </c>
      <c r="N1228" s="461">
        <v>0</v>
      </c>
      <c r="O1228" s="461">
        <v>0</v>
      </c>
      <c r="P1228" s="461">
        <v>0</v>
      </c>
      <c r="Q1228" s="461">
        <v>0</v>
      </c>
      <c r="R1228" s="461">
        <v>0</v>
      </c>
      <c r="S1228" s="461">
        <v>0</v>
      </c>
      <c r="T1228" s="461">
        <v>0</v>
      </c>
      <c r="U1228" s="461">
        <v>0</v>
      </c>
      <c r="V1228" s="461">
        <v>0</v>
      </c>
    </row>
    <row r="1229" spans="1:22" s="455" customFormat="1" hidden="1">
      <c r="A1229" s="455" t="str">
        <f t="shared" si="38"/>
        <v>18305302701019</v>
      </c>
      <c r="B1229" s="455" t="str">
        <f>VLOOKUP(LEFT($C$3:$C$2600,3),Table!$D$2:$E$88,2,FALSE)</f>
        <v>Selling &amp; admin expenses</v>
      </c>
      <c r="C1229" s="455" t="str">
        <f t="shared" si="39"/>
        <v>5302701019</v>
      </c>
      <c r="D1229" s="455" t="e">
        <f>VLOOKUP(G1229,Table!$G$3:$H$21,2,FALSE)</f>
        <v>#N/A</v>
      </c>
      <c r="E1229" s="452" t="s">
        <v>902</v>
      </c>
      <c r="F1229" s="452" t="s">
        <v>1571</v>
      </c>
      <c r="G1229" s="452" t="s">
        <v>1587</v>
      </c>
      <c r="H1229" s="452" t="s">
        <v>1588</v>
      </c>
      <c r="I1229" s="453" t="s">
        <v>844</v>
      </c>
      <c r="J1229" s="453">
        <v>4730</v>
      </c>
      <c r="K1229" s="461">
        <v>4520</v>
      </c>
      <c r="L1229" s="461">
        <v>0</v>
      </c>
      <c r="M1229" s="461">
        <v>3010</v>
      </c>
      <c r="N1229" s="461">
        <v>0</v>
      </c>
      <c r="O1229" s="461">
        <v>0</v>
      </c>
      <c r="P1229" s="461">
        <v>0</v>
      </c>
      <c r="Q1229" s="461">
        <v>0</v>
      </c>
      <c r="R1229" s="461">
        <v>0</v>
      </c>
      <c r="S1229" s="461">
        <v>0</v>
      </c>
      <c r="T1229" s="461">
        <v>0</v>
      </c>
      <c r="U1229" s="461">
        <v>0</v>
      </c>
      <c r="V1229" s="461">
        <v>0</v>
      </c>
    </row>
    <row r="1230" spans="1:22" s="455" customFormat="1" hidden="1">
      <c r="A1230" s="455" t="str">
        <f t="shared" si="38"/>
        <v>18305302701063</v>
      </c>
      <c r="B1230" s="455" t="str">
        <f>VLOOKUP(LEFT($C$3:$C$2600,3),Table!$D$2:$E$88,2,FALSE)</f>
        <v>Selling &amp; admin expenses</v>
      </c>
      <c r="C1230" s="455" t="str">
        <f t="shared" si="39"/>
        <v>5302701063</v>
      </c>
      <c r="D1230" s="455" t="e">
        <f>VLOOKUP(G1230,Table!$G$3:$H$21,2,FALSE)</f>
        <v>#N/A</v>
      </c>
      <c r="E1230" s="452" t="s">
        <v>902</v>
      </c>
      <c r="F1230" s="452" t="s">
        <v>1571</v>
      </c>
      <c r="G1230" s="452" t="s">
        <v>1589</v>
      </c>
      <c r="H1230" s="452" t="s">
        <v>1590</v>
      </c>
      <c r="I1230" s="453" t="s">
        <v>844</v>
      </c>
      <c r="J1230" s="453">
        <v>5423.05</v>
      </c>
      <c r="K1230" s="461">
        <v>5298.05</v>
      </c>
      <c r="L1230" s="461">
        <v>25</v>
      </c>
      <c r="M1230" s="461">
        <v>2343</v>
      </c>
      <c r="N1230" s="461">
        <v>0</v>
      </c>
      <c r="O1230" s="461">
        <v>0</v>
      </c>
      <c r="P1230" s="461">
        <v>0</v>
      </c>
      <c r="Q1230" s="461">
        <v>0</v>
      </c>
      <c r="R1230" s="461">
        <v>0</v>
      </c>
      <c r="S1230" s="461">
        <v>0</v>
      </c>
      <c r="T1230" s="461">
        <v>0</v>
      </c>
      <c r="U1230" s="461">
        <v>0</v>
      </c>
      <c r="V1230" s="461">
        <v>0</v>
      </c>
    </row>
    <row r="1231" spans="1:22" s="455" customFormat="1" hidden="1">
      <c r="A1231" s="455" t="str">
        <f t="shared" si="38"/>
        <v>18305302701111</v>
      </c>
      <c r="B1231" s="455" t="str">
        <f>VLOOKUP(LEFT($C$3:$C$2600,3),Table!$D$2:$E$88,2,FALSE)</f>
        <v>Selling &amp; admin expenses</v>
      </c>
      <c r="C1231" s="455" t="str">
        <f t="shared" si="39"/>
        <v>5302701111</v>
      </c>
      <c r="D1231" s="455" t="e">
        <f>VLOOKUP(G1231,Table!$G$3:$H$21,2,FALSE)</f>
        <v>#N/A</v>
      </c>
      <c r="E1231" s="452" t="s">
        <v>902</v>
      </c>
      <c r="F1231" s="452" t="s">
        <v>1571</v>
      </c>
      <c r="G1231" s="452" t="s">
        <v>2563</v>
      </c>
      <c r="H1231" s="452" t="s">
        <v>2564</v>
      </c>
      <c r="I1231" s="453" t="s">
        <v>844</v>
      </c>
      <c r="J1231" s="453">
        <v>519.76</v>
      </c>
      <c r="K1231" s="461">
        <v>0</v>
      </c>
      <c r="L1231" s="461">
        <v>0</v>
      </c>
      <c r="M1231" s="461">
        <v>519.76</v>
      </c>
      <c r="N1231" s="461">
        <v>0</v>
      </c>
      <c r="O1231" s="461">
        <v>0</v>
      </c>
      <c r="P1231" s="461">
        <v>0</v>
      </c>
      <c r="Q1231" s="461">
        <v>0</v>
      </c>
      <c r="R1231" s="461">
        <v>0</v>
      </c>
      <c r="S1231" s="461">
        <v>0</v>
      </c>
      <c r="T1231" s="461">
        <v>0</v>
      </c>
      <c r="U1231" s="461">
        <v>0</v>
      </c>
      <c r="V1231" s="461">
        <v>0</v>
      </c>
    </row>
    <row r="1232" spans="1:22" s="455" customFormat="1" hidden="1">
      <c r="A1232" s="455" t="str">
        <f t="shared" si="38"/>
        <v>18305302701163</v>
      </c>
      <c r="B1232" s="455" t="str">
        <f>VLOOKUP(LEFT($C$3:$C$2600,3),Table!$D$2:$E$88,2,FALSE)</f>
        <v>Selling &amp; admin expenses</v>
      </c>
      <c r="C1232" s="455" t="str">
        <f t="shared" si="39"/>
        <v>5302701163</v>
      </c>
      <c r="D1232" s="455" t="e">
        <f>VLOOKUP(G1232,Table!$G$3:$H$21,2,FALSE)</f>
        <v>#N/A</v>
      </c>
      <c r="E1232" s="452" t="s">
        <v>902</v>
      </c>
      <c r="F1232" s="452" t="s">
        <v>1571</v>
      </c>
      <c r="G1232" s="452" t="s">
        <v>1591</v>
      </c>
      <c r="H1232" s="452" t="s">
        <v>1592</v>
      </c>
      <c r="I1232" s="453" t="s">
        <v>844</v>
      </c>
      <c r="J1232" s="453">
        <v>1137.4100000000001</v>
      </c>
      <c r="K1232" s="461">
        <v>377.41</v>
      </c>
      <c r="L1232" s="461">
        <v>380</v>
      </c>
      <c r="M1232" s="461">
        <v>380</v>
      </c>
      <c r="N1232" s="461">
        <v>0</v>
      </c>
      <c r="O1232" s="461">
        <v>0</v>
      </c>
      <c r="P1232" s="461">
        <v>0</v>
      </c>
      <c r="Q1232" s="461">
        <v>0</v>
      </c>
      <c r="R1232" s="461">
        <v>0</v>
      </c>
      <c r="S1232" s="461">
        <v>0</v>
      </c>
      <c r="T1232" s="461">
        <v>0</v>
      </c>
      <c r="U1232" s="461">
        <v>0</v>
      </c>
      <c r="V1232" s="461">
        <v>0</v>
      </c>
    </row>
    <row r="1233" spans="1:22" s="455" customFormat="1" hidden="1">
      <c r="A1233" s="455" t="str">
        <f t="shared" si="38"/>
        <v>18305302701211</v>
      </c>
      <c r="B1233" s="455" t="str">
        <f>VLOOKUP(LEFT($C$3:$C$2600,3),Table!$D$2:$E$88,2,FALSE)</f>
        <v>Selling &amp; admin expenses</v>
      </c>
      <c r="C1233" s="455" t="str">
        <f t="shared" si="39"/>
        <v>5302701211</v>
      </c>
      <c r="D1233" s="455" t="e">
        <f>VLOOKUP(G1233,Table!$G$3:$H$21,2,FALSE)</f>
        <v>#N/A</v>
      </c>
      <c r="E1233" s="452" t="s">
        <v>902</v>
      </c>
      <c r="F1233" s="452" t="s">
        <v>1571</v>
      </c>
      <c r="G1233" s="452" t="s">
        <v>2565</v>
      </c>
      <c r="H1233" s="452" t="s">
        <v>2566</v>
      </c>
      <c r="I1233" s="453" t="s">
        <v>844</v>
      </c>
      <c r="J1233" s="453">
        <v>5980</v>
      </c>
      <c r="K1233" s="461">
        <v>0</v>
      </c>
      <c r="L1233" s="461">
        <v>0</v>
      </c>
      <c r="M1233" s="461">
        <v>5980</v>
      </c>
      <c r="N1233" s="461">
        <v>0</v>
      </c>
      <c r="O1233" s="461">
        <v>0</v>
      </c>
      <c r="P1233" s="461">
        <v>0</v>
      </c>
      <c r="Q1233" s="461">
        <v>0</v>
      </c>
      <c r="R1233" s="461">
        <v>0</v>
      </c>
      <c r="S1233" s="461">
        <v>0</v>
      </c>
      <c r="T1233" s="461">
        <v>0</v>
      </c>
      <c r="U1233" s="461">
        <v>0</v>
      </c>
      <c r="V1233" s="461">
        <v>0</v>
      </c>
    </row>
    <row r="1234" spans="1:22" s="455" customFormat="1" hidden="1">
      <c r="A1234" s="455" t="str">
        <f t="shared" si="38"/>
        <v>18305303001600</v>
      </c>
      <c r="B1234" s="455" t="str">
        <f>VLOOKUP(LEFT($C$3:$C$2600,3),Table!$D$2:$E$88,2,FALSE)</f>
        <v>Selling &amp; admin expenses</v>
      </c>
      <c r="C1234" s="455" t="str">
        <f t="shared" si="39"/>
        <v>5303001600</v>
      </c>
      <c r="D1234" s="455" t="e">
        <f>VLOOKUP(G1234,Table!$G$3:$H$21,2,FALSE)</f>
        <v>#N/A</v>
      </c>
      <c r="E1234" s="452" t="s">
        <v>902</v>
      </c>
      <c r="F1234" s="452" t="s">
        <v>1571</v>
      </c>
      <c r="G1234" s="452" t="s">
        <v>1563</v>
      </c>
      <c r="H1234" s="452" t="s">
        <v>1564</v>
      </c>
      <c r="I1234" s="453" t="s">
        <v>844</v>
      </c>
      <c r="J1234" s="453">
        <v>22486</v>
      </c>
      <c r="K1234" s="461">
        <v>4997</v>
      </c>
      <c r="L1234" s="461">
        <v>4997</v>
      </c>
      <c r="M1234" s="461">
        <v>12492</v>
      </c>
      <c r="N1234" s="461">
        <v>0</v>
      </c>
      <c r="O1234" s="461">
        <v>0</v>
      </c>
      <c r="P1234" s="461">
        <v>0</v>
      </c>
      <c r="Q1234" s="461">
        <v>0</v>
      </c>
      <c r="R1234" s="461">
        <v>0</v>
      </c>
      <c r="S1234" s="461">
        <v>0</v>
      </c>
      <c r="T1234" s="461">
        <v>0</v>
      </c>
      <c r="U1234" s="461">
        <v>0</v>
      </c>
      <c r="V1234" s="461">
        <v>0</v>
      </c>
    </row>
    <row r="1235" spans="1:22" s="455" customFormat="1" hidden="1">
      <c r="A1235" s="455" t="str">
        <f t="shared" si="38"/>
        <v>18305303201000</v>
      </c>
      <c r="B1235" s="455" t="str">
        <f>VLOOKUP(LEFT($C$3:$C$2600,3),Table!$D$2:$E$88,2,FALSE)</f>
        <v>Selling &amp; admin expenses</v>
      </c>
      <c r="C1235" s="455" t="str">
        <f t="shared" si="39"/>
        <v>5303201000</v>
      </c>
      <c r="D1235" s="455" t="e">
        <f>VLOOKUP(G1235,Table!$G$3:$H$21,2,FALSE)</f>
        <v>#N/A</v>
      </c>
      <c r="E1235" s="452" t="s">
        <v>902</v>
      </c>
      <c r="F1235" s="452" t="s">
        <v>1571</v>
      </c>
      <c r="G1235" s="452" t="s">
        <v>2567</v>
      </c>
      <c r="H1235" s="452" t="s">
        <v>2244</v>
      </c>
      <c r="I1235" s="453" t="s">
        <v>844</v>
      </c>
      <c r="J1235" s="453">
        <v>78204.45</v>
      </c>
      <c r="K1235" s="461">
        <v>0</v>
      </c>
      <c r="L1235" s="461">
        <v>15128.24</v>
      </c>
      <c r="M1235" s="461">
        <v>139294.26</v>
      </c>
      <c r="N1235" s="461">
        <v>0</v>
      </c>
      <c r="O1235" s="461">
        <v>0</v>
      </c>
      <c r="P1235" s="461">
        <v>0</v>
      </c>
      <c r="Q1235" s="461">
        <v>0</v>
      </c>
      <c r="R1235" s="461">
        <v>0</v>
      </c>
      <c r="S1235" s="461">
        <v>0</v>
      </c>
      <c r="T1235" s="461">
        <v>0</v>
      </c>
      <c r="U1235" s="461">
        <v>0</v>
      </c>
      <c r="V1235" s="461">
        <v>0</v>
      </c>
    </row>
    <row r="1236" spans="1:22" s="455" customFormat="1" hidden="1">
      <c r="A1236" s="455" t="str">
        <f t="shared" si="38"/>
        <v>18305303401600</v>
      </c>
      <c r="B1236" s="455" t="str">
        <f>VLOOKUP(LEFT($C$3:$C$2600,3),Table!$D$2:$E$88,2,FALSE)</f>
        <v>Selling &amp; admin expenses</v>
      </c>
      <c r="C1236" s="455" t="str">
        <f t="shared" si="39"/>
        <v>5303401600</v>
      </c>
      <c r="D1236" s="455" t="e">
        <f>VLOOKUP(G1236,Table!$G$3:$H$21,2,FALSE)</f>
        <v>#N/A</v>
      </c>
      <c r="E1236" s="452" t="s">
        <v>902</v>
      </c>
      <c r="F1236" s="452" t="s">
        <v>1571</v>
      </c>
      <c r="G1236" s="452" t="s">
        <v>1565</v>
      </c>
      <c r="H1236" s="452" t="s">
        <v>1454</v>
      </c>
      <c r="I1236" s="453" t="s">
        <v>844</v>
      </c>
      <c r="J1236" s="453">
        <v>0</v>
      </c>
      <c r="K1236" s="461">
        <v>0</v>
      </c>
      <c r="L1236" s="461">
        <v>0</v>
      </c>
      <c r="M1236" s="461">
        <v>653</v>
      </c>
      <c r="N1236" s="461">
        <v>0</v>
      </c>
      <c r="O1236" s="461">
        <v>0</v>
      </c>
      <c r="P1236" s="461">
        <v>0</v>
      </c>
      <c r="Q1236" s="461">
        <v>0</v>
      </c>
      <c r="R1236" s="461">
        <v>0</v>
      </c>
      <c r="S1236" s="461">
        <v>0</v>
      </c>
      <c r="T1236" s="461">
        <v>0</v>
      </c>
      <c r="U1236" s="461">
        <v>0</v>
      </c>
      <c r="V1236" s="461">
        <v>0</v>
      </c>
    </row>
    <row r="1237" spans="1:22" s="455" customFormat="1" hidden="1">
      <c r="A1237" s="455" t="str">
        <f t="shared" si="38"/>
        <v>18305303601000</v>
      </c>
      <c r="B1237" s="455" t="str">
        <f>VLOOKUP(LEFT($C$3:$C$2600,3),Table!$D$2:$E$88,2,FALSE)</f>
        <v>Selling &amp; admin expenses</v>
      </c>
      <c r="C1237" s="455" t="str">
        <f t="shared" si="39"/>
        <v>5303601000</v>
      </c>
      <c r="D1237" s="455" t="e">
        <f>VLOOKUP(G1237,Table!$G$3:$H$21,2,FALSE)</f>
        <v>#N/A</v>
      </c>
      <c r="E1237" s="452" t="s">
        <v>902</v>
      </c>
      <c r="F1237" s="452" t="s">
        <v>1571</v>
      </c>
      <c r="G1237" s="452" t="s">
        <v>1568</v>
      </c>
      <c r="H1237" s="452" t="s">
        <v>1569</v>
      </c>
      <c r="I1237" s="453" t="s">
        <v>844</v>
      </c>
      <c r="J1237" s="453">
        <v>133.56</v>
      </c>
      <c r="K1237" s="461">
        <v>133.56</v>
      </c>
      <c r="L1237" s="461">
        <v>133.56</v>
      </c>
      <c r="M1237" s="461">
        <v>4282.12</v>
      </c>
      <c r="N1237" s="461">
        <v>0</v>
      </c>
      <c r="O1237" s="461">
        <v>0</v>
      </c>
      <c r="P1237" s="461">
        <v>0</v>
      </c>
      <c r="Q1237" s="461">
        <v>0</v>
      </c>
      <c r="R1237" s="461">
        <v>0</v>
      </c>
      <c r="S1237" s="461">
        <v>0</v>
      </c>
      <c r="T1237" s="461">
        <v>0</v>
      </c>
      <c r="U1237" s="461">
        <v>0</v>
      </c>
      <c r="V1237" s="461">
        <v>0</v>
      </c>
    </row>
    <row r="1238" spans="1:22" s="455" customFormat="1" hidden="1">
      <c r="A1238" s="455" t="str">
        <f t="shared" si="38"/>
        <v>18305303601100</v>
      </c>
      <c r="B1238" s="455" t="str">
        <f>VLOOKUP(LEFT($C$3:$C$2600,3),Table!$D$2:$E$88,2,FALSE)</f>
        <v>Selling &amp; admin expenses</v>
      </c>
      <c r="C1238" s="455" t="str">
        <f t="shared" si="39"/>
        <v>5303601100</v>
      </c>
      <c r="D1238" s="455" t="e">
        <f>VLOOKUP(G1238,Table!$G$3:$H$21,2,FALSE)</f>
        <v>#N/A</v>
      </c>
      <c r="E1238" s="452" t="s">
        <v>902</v>
      </c>
      <c r="F1238" s="452" t="s">
        <v>1571</v>
      </c>
      <c r="G1238" s="452" t="s">
        <v>1593</v>
      </c>
      <c r="H1238" s="452" t="s">
        <v>1594</v>
      </c>
      <c r="I1238" s="453" t="s">
        <v>844</v>
      </c>
      <c r="J1238" s="453">
        <v>6000</v>
      </c>
      <c r="K1238" s="461">
        <v>0</v>
      </c>
      <c r="L1238" s="461">
        <v>0</v>
      </c>
      <c r="M1238" s="461">
        <v>0</v>
      </c>
      <c r="N1238" s="461">
        <v>0</v>
      </c>
      <c r="O1238" s="461">
        <v>0</v>
      </c>
      <c r="P1238" s="461">
        <v>0</v>
      </c>
      <c r="Q1238" s="461">
        <v>0</v>
      </c>
      <c r="R1238" s="461">
        <v>0</v>
      </c>
      <c r="S1238" s="461">
        <v>0</v>
      </c>
      <c r="T1238" s="461">
        <v>0</v>
      </c>
      <c r="U1238" s="461">
        <v>0</v>
      </c>
      <c r="V1238" s="461">
        <v>0</v>
      </c>
    </row>
    <row r="1239" spans="1:22" s="455" customFormat="1" hidden="1">
      <c r="A1239" s="455" t="str">
        <f t="shared" si="38"/>
        <v>18505301501320</v>
      </c>
      <c r="B1239" s="455" t="str">
        <f>VLOOKUP(LEFT($C$3:$C$2600,3),Table!$D$2:$E$88,2,FALSE)</f>
        <v>Selling &amp; admin expenses</v>
      </c>
      <c r="C1239" s="455" t="str">
        <f t="shared" si="39"/>
        <v>5301501320</v>
      </c>
      <c r="D1239" s="455" t="e">
        <f>VLOOKUP(G1239,Table!$G$3:$H$21,2,FALSE)</f>
        <v>#N/A</v>
      </c>
      <c r="E1239" s="452" t="s">
        <v>902</v>
      </c>
      <c r="F1239" s="452" t="s">
        <v>1595</v>
      </c>
      <c r="G1239" s="452" t="s">
        <v>1465</v>
      </c>
      <c r="H1239" s="452" t="s">
        <v>1466</v>
      </c>
      <c r="I1239" s="453" t="s">
        <v>844</v>
      </c>
      <c r="J1239" s="453">
        <v>-317.58999999999997</v>
      </c>
      <c r="K1239" s="461">
        <v>-317.58999999999997</v>
      </c>
      <c r="L1239" s="461">
        <v>367.77</v>
      </c>
      <c r="M1239" s="461">
        <v>-367.77</v>
      </c>
      <c r="N1239" s="461">
        <v>0</v>
      </c>
      <c r="O1239" s="461">
        <v>0</v>
      </c>
      <c r="P1239" s="461">
        <v>0</v>
      </c>
      <c r="Q1239" s="461">
        <v>0</v>
      </c>
      <c r="R1239" s="461">
        <v>0</v>
      </c>
      <c r="S1239" s="461">
        <v>0</v>
      </c>
      <c r="T1239" s="461">
        <v>0</v>
      </c>
      <c r="U1239" s="461">
        <v>0</v>
      </c>
      <c r="V1239" s="461">
        <v>0</v>
      </c>
    </row>
    <row r="1240" spans="1:22" s="455" customFormat="1" hidden="1">
      <c r="A1240" s="455" t="str">
        <f t="shared" si="38"/>
        <v>18505301501347</v>
      </c>
      <c r="B1240" s="455" t="str">
        <f>VLOOKUP(LEFT($C$3:$C$2600,3),Table!$D$2:$E$88,2,FALSE)</f>
        <v>Selling &amp; admin expenses</v>
      </c>
      <c r="C1240" s="455" t="str">
        <f t="shared" si="39"/>
        <v>5301501347</v>
      </c>
      <c r="D1240" s="455" t="e">
        <f>VLOOKUP(G1240,Table!$G$3:$H$21,2,FALSE)</f>
        <v>#N/A</v>
      </c>
      <c r="E1240" s="452" t="s">
        <v>902</v>
      </c>
      <c r="F1240" s="452" t="s">
        <v>1595</v>
      </c>
      <c r="G1240" s="452" t="s">
        <v>1467</v>
      </c>
      <c r="H1240" s="452" t="s">
        <v>1468</v>
      </c>
      <c r="I1240" s="453" t="s">
        <v>844</v>
      </c>
      <c r="J1240" s="453">
        <v>1069.81</v>
      </c>
      <c r="K1240" s="461">
        <v>480.21</v>
      </c>
      <c r="L1240" s="461">
        <v>539.6</v>
      </c>
      <c r="M1240" s="461">
        <v>425.19</v>
      </c>
      <c r="N1240" s="461">
        <v>0</v>
      </c>
      <c r="O1240" s="461">
        <v>0</v>
      </c>
      <c r="P1240" s="461">
        <v>0</v>
      </c>
      <c r="Q1240" s="461">
        <v>0</v>
      </c>
      <c r="R1240" s="461">
        <v>0</v>
      </c>
      <c r="S1240" s="461">
        <v>0</v>
      </c>
      <c r="T1240" s="461">
        <v>0</v>
      </c>
      <c r="U1240" s="461">
        <v>0</v>
      </c>
      <c r="V1240" s="461">
        <v>0</v>
      </c>
    </row>
    <row r="1241" spans="1:22" s="455" customFormat="1" hidden="1">
      <c r="A1241" s="455" t="str">
        <f t="shared" si="38"/>
        <v>18505301501400</v>
      </c>
      <c r="B1241" s="455" t="str">
        <f>VLOOKUP(LEFT($C$3:$C$2600,3),Table!$D$2:$E$88,2,FALSE)</f>
        <v>Selling &amp; admin expenses</v>
      </c>
      <c r="C1241" s="455" t="str">
        <f t="shared" si="39"/>
        <v>5301501400</v>
      </c>
      <c r="D1241" s="455" t="e">
        <f>VLOOKUP(G1241,Table!$G$3:$H$21,2,FALSE)</f>
        <v>#N/A</v>
      </c>
      <c r="E1241" s="452" t="s">
        <v>902</v>
      </c>
      <c r="F1241" s="452" t="s">
        <v>1595</v>
      </c>
      <c r="G1241" s="452" t="s">
        <v>1522</v>
      </c>
      <c r="H1241" s="452" t="s">
        <v>1523</v>
      </c>
      <c r="I1241" s="453" t="s">
        <v>844</v>
      </c>
      <c r="J1241" s="453">
        <v>987.7</v>
      </c>
      <c r="K1241" s="461">
        <v>0</v>
      </c>
      <c r="L1241" s="461">
        <v>0</v>
      </c>
      <c r="M1241" s="461">
        <v>987.7</v>
      </c>
      <c r="N1241" s="461">
        <v>0</v>
      </c>
      <c r="O1241" s="461">
        <v>0</v>
      </c>
      <c r="P1241" s="461">
        <v>0</v>
      </c>
      <c r="Q1241" s="461">
        <v>0</v>
      </c>
      <c r="R1241" s="461">
        <v>0</v>
      </c>
      <c r="S1241" s="461">
        <v>0</v>
      </c>
      <c r="T1241" s="461">
        <v>0</v>
      </c>
      <c r="U1241" s="461">
        <v>0</v>
      </c>
      <c r="V1241" s="461">
        <v>0</v>
      </c>
    </row>
    <row r="1242" spans="1:22" s="455" customFormat="1" hidden="1">
      <c r="A1242" s="455" t="str">
        <f t="shared" si="38"/>
        <v>18505301502000</v>
      </c>
      <c r="B1242" s="455" t="str">
        <f>VLOOKUP(LEFT($C$3:$C$2600,3),Table!$D$2:$E$88,2,FALSE)</f>
        <v>Selling &amp; admin expenses</v>
      </c>
      <c r="C1242" s="455" t="str">
        <f t="shared" si="39"/>
        <v>5301502000</v>
      </c>
      <c r="D1242" s="455" t="e">
        <f>VLOOKUP(G1242,Table!$G$3:$H$21,2,FALSE)</f>
        <v>#N/A</v>
      </c>
      <c r="E1242" s="452" t="s">
        <v>902</v>
      </c>
      <c r="F1242" s="452" t="s">
        <v>1595</v>
      </c>
      <c r="G1242" s="452" t="s">
        <v>1544</v>
      </c>
      <c r="H1242" s="452" t="s">
        <v>1545</v>
      </c>
      <c r="I1242" s="453" t="s">
        <v>844</v>
      </c>
      <c r="J1242" s="453">
        <v>1666</v>
      </c>
      <c r="K1242" s="461">
        <v>1666</v>
      </c>
      <c r="L1242" s="461">
        <v>0</v>
      </c>
      <c r="M1242" s="461">
        <v>1067</v>
      </c>
      <c r="N1242" s="461">
        <v>0</v>
      </c>
      <c r="O1242" s="461">
        <v>0</v>
      </c>
      <c r="P1242" s="461">
        <v>0</v>
      </c>
      <c r="Q1242" s="461">
        <v>0</v>
      </c>
      <c r="R1242" s="461">
        <v>0</v>
      </c>
      <c r="S1242" s="461">
        <v>0</v>
      </c>
      <c r="T1242" s="461">
        <v>0</v>
      </c>
      <c r="U1242" s="461">
        <v>0</v>
      </c>
      <c r="V1242" s="461">
        <v>0</v>
      </c>
    </row>
    <row r="1243" spans="1:22" s="455" customFormat="1" hidden="1">
      <c r="A1243" s="455" t="str">
        <f t="shared" si="38"/>
        <v>18505301502200</v>
      </c>
      <c r="B1243" s="455" t="str">
        <f>VLOOKUP(LEFT($C$3:$C$2600,3),Table!$D$2:$E$88,2,FALSE)</f>
        <v>Selling &amp; admin expenses</v>
      </c>
      <c r="C1243" s="455" t="str">
        <f t="shared" si="39"/>
        <v>5301502200</v>
      </c>
      <c r="D1243" s="455" t="e">
        <f>VLOOKUP(G1243,Table!$G$3:$H$21,2,FALSE)</f>
        <v>#N/A</v>
      </c>
      <c r="E1243" s="452" t="s">
        <v>902</v>
      </c>
      <c r="F1243" s="452" t="s">
        <v>1595</v>
      </c>
      <c r="G1243" s="452" t="s">
        <v>1546</v>
      </c>
      <c r="H1243" s="452" t="s">
        <v>1547</v>
      </c>
      <c r="I1243" s="453" t="s">
        <v>844</v>
      </c>
      <c r="J1243" s="453">
        <v>53.77</v>
      </c>
      <c r="K1243" s="461">
        <v>0</v>
      </c>
      <c r="L1243" s="461">
        <v>0</v>
      </c>
      <c r="M1243" s="461">
        <v>53.77</v>
      </c>
      <c r="N1243" s="461">
        <v>0</v>
      </c>
      <c r="O1243" s="461">
        <v>0</v>
      </c>
      <c r="P1243" s="461">
        <v>0</v>
      </c>
      <c r="Q1243" s="461">
        <v>0</v>
      </c>
      <c r="R1243" s="461">
        <v>0</v>
      </c>
      <c r="S1243" s="461">
        <v>0</v>
      </c>
      <c r="T1243" s="461">
        <v>0</v>
      </c>
      <c r="U1243" s="461">
        <v>0</v>
      </c>
      <c r="V1243" s="461">
        <v>0</v>
      </c>
    </row>
    <row r="1244" spans="1:22" s="455" customFormat="1" hidden="1">
      <c r="A1244" s="455" t="str">
        <f t="shared" si="38"/>
        <v>18505301601000</v>
      </c>
      <c r="B1244" s="455" t="str">
        <f>VLOOKUP(LEFT($C$3:$C$2600,3),Table!$D$2:$E$88,2,FALSE)</f>
        <v>Selling &amp; admin expenses</v>
      </c>
      <c r="C1244" s="455" t="str">
        <f t="shared" si="39"/>
        <v>5301601000</v>
      </c>
      <c r="D1244" s="455" t="e">
        <f>VLOOKUP(G1244,Table!$G$3:$H$21,2,FALSE)</f>
        <v>#N/A</v>
      </c>
      <c r="E1244" s="452" t="s">
        <v>902</v>
      </c>
      <c r="F1244" s="452" t="s">
        <v>1595</v>
      </c>
      <c r="G1244" s="452" t="s">
        <v>1524</v>
      </c>
      <c r="H1244" s="452" t="s">
        <v>1014</v>
      </c>
      <c r="I1244" s="453" t="s">
        <v>844</v>
      </c>
      <c r="J1244" s="453">
        <v>41.85</v>
      </c>
      <c r="K1244" s="461">
        <v>0</v>
      </c>
      <c r="L1244" s="461">
        <v>0</v>
      </c>
      <c r="M1244" s="461">
        <v>41.85</v>
      </c>
      <c r="N1244" s="461">
        <v>0</v>
      </c>
      <c r="O1244" s="461">
        <v>0</v>
      </c>
      <c r="P1244" s="461">
        <v>0</v>
      </c>
      <c r="Q1244" s="461">
        <v>0</v>
      </c>
      <c r="R1244" s="461">
        <v>0</v>
      </c>
      <c r="S1244" s="461">
        <v>0</v>
      </c>
      <c r="T1244" s="461">
        <v>0</v>
      </c>
      <c r="U1244" s="461">
        <v>0</v>
      </c>
      <c r="V1244" s="461">
        <v>0</v>
      </c>
    </row>
    <row r="1245" spans="1:22" s="455" customFormat="1" hidden="1">
      <c r="A1245" s="455" t="str">
        <f t="shared" si="38"/>
        <v>18505301602001</v>
      </c>
      <c r="B1245" s="455" t="str">
        <f>VLOOKUP(LEFT($C$3:$C$2600,3),Table!$D$2:$E$88,2,FALSE)</f>
        <v>Selling &amp; admin expenses</v>
      </c>
      <c r="C1245" s="455" t="str">
        <f t="shared" si="39"/>
        <v>5301602001</v>
      </c>
      <c r="D1245" s="455" t="e">
        <f>VLOOKUP(G1245,Table!$G$3:$H$21,2,FALSE)</f>
        <v>#N/A</v>
      </c>
      <c r="E1245" s="452" t="s">
        <v>902</v>
      </c>
      <c r="F1245" s="452" t="s">
        <v>1595</v>
      </c>
      <c r="G1245" s="452" t="s">
        <v>2568</v>
      </c>
      <c r="H1245" s="452" t="s">
        <v>2534</v>
      </c>
      <c r="I1245" s="453" t="s">
        <v>844</v>
      </c>
      <c r="J1245" s="453">
        <v>79.86</v>
      </c>
      <c r="K1245" s="461">
        <v>0</v>
      </c>
      <c r="L1245" s="461">
        <v>0</v>
      </c>
      <c r="M1245" s="461">
        <v>79.86</v>
      </c>
      <c r="N1245" s="461">
        <v>0</v>
      </c>
      <c r="O1245" s="461">
        <v>0</v>
      </c>
      <c r="P1245" s="461">
        <v>0</v>
      </c>
      <c r="Q1245" s="461">
        <v>0</v>
      </c>
      <c r="R1245" s="461">
        <v>0</v>
      </c>
      <c r="S1245" s="461">
        <v>0</v>
      </c>
      <c r="T1245" s="461">
        <v>0</v>
      </c>
      <c r="U1245" s="461">
        <v>0</v>
      </c>
      <c r="V1245" s="461">
        <v>0</v>
      </c>
    </row>
    <row r="1246" spans="1:22" s="455" customFormat="1" hidden="1">
      <c r="A1246" s="455" t="str">
        <f t="shared" si="38"/>
        <v>18505301602100</v>
      </c>
      <c r="B1246" s="455" t="str">
        <f>VLOOKUP(LEFT($C$3:$C$2600,3),Table!$D$2:$E$88,2,FALSE)</f>
        <v>Selling &amp; admin expenses</v>
      </c>
      <c r="C1246" s="455" t="str">
        <f t="shared" si="39"/>
        <v>5301602100</v>
      </c>
      <c r="D1246" s="455" t="e">
        <f>VLOOKUP(G1246,Table!$G$3:$H$21,2,FALSE)</f>
        <v>#N/A</v>
      </c>
      <c r="E1246" s="452" t="s">
        <v>902</v>
      </c>
      <c r="F1246" s="452" t="s">
        <v>1595</v>
      </c>
      <c r="G1246" s="452" t="s">
        <v>1581</v>
      </c>
      <c r="H1246" s="452" t="s">
        <v>1582</v>
      </c>
      <c r="I1246" s="453" t="s">
        <v>844</v>
      </c>
      <c r="J1246" s="453">
        <v>1213.58</v>
      </c>
      <c r="K1246" s="461">
        <v>0</v>
      </c>
      <c r="L1246" s="461">
        <v>0</v>
      </c>
      <c r="M1246" s="461">
        <v>1213.58</v>
      </c>
      <c r="N1246" s="461">
        <v>0</v>
      </c>
      <c r="O1246" s="461">
        <v>0</v>
      </c>
      <c r="P1246" s="461">
        <v>0</v>
      </c>
      <c r="Q1246" s="461">
        <v>0</v>
      </c>
      <c r="R1246" s="461">
        <v>0</v>
      </c>
      <c r="S1246" s="461">
        <v>0</v>
      </c>
      <c r="T1246" s="461">
        <v>0</v>
      </c>
      <c r="U1246" s="461">
        <v>0</v>
      </c>
      <c r="V1246" s="461">
        <v>0</v>
      </c>
    </row>
    <row r="1247" spans="1:22" s="455" customFormat="1" hidden="1">
      <c r="A1247" s="455" t="str">
        <f t="shared" si="38"/>
        <v>18505301701010</v>
      </c>
      <c r="B1247" s="455" t="str">
        <f>VLOOKUP(LEFT($C$3:$C$2600,3),Table!$D$2:$E$88,2,FALSE)</f>
        <v>Selling &amp; admin expenses</v>
      </c>
      <c r="C1247" s="455" t="str">
        <f t="shared" si="39"/>
        <v>5301701010</v>
      </c>
      <c r="D1247" s="455" t="e">
        <f>VLOOKUP(G1247,Table!$G$3:$H$21,2,FALSE)</f>
        <v>#N/A</v>
      </c>
      <c r="E1247" s="452" t="s">
        <v>902</v>
      </c>
      <c r="F1247" s="452" t="s">
        <v>1595</v>
      </c>
      <c r="G1247" s="452" t="s">
        <v>1550</v>
      </c>
      <c r="H1247" s="452" t="s">
        <v>1551</v>
      </c>
      <c r="I1247" s="453" t="s">
        <v>844</v>
      </c>
      <c r="J1247" s="453">
        <v>194.78</v>
      </c>
      <c r="K1247" s="461">
        <v>463</v>
      </c>
      <c r="L1247" s="461">
        <v>194.78</v>
      </c>
      <c r="M1247" s="461">
        <v>-303.07</v>
      </c>
      <c r="N1247" s="461">
        <v>0</v>
      </c>
      <c r="O1247" s="461">
        <v>0</v>
      </c>
      <c r="P1247" s="461">
        <v>0</v>
      </c>
      <c r="Q1247" s="461">
        <v>0</v>
      </c>
      <c r="R1247" s="461">
        <v>0</v>
      </c>
      <c r="S1247" s="461">
        <v>0</v>
      </c>
      <c r="T1247" s="461">
        <v>0</v>
      </c>
      <c r="U1247" s="461">
        <v>0</v>
      </c>
      <c r="V1247" s="461">
        <v>0</v>
      </c>
    </row>
    <row r="1248" spans="1:22" s="455" customFormat="1" hidden="1">
      <c r="A1248" s="455" t="str">
        <f t="shared" si="38"/>
        <v>18505301801500</v>
      </c>
      <c r="B1248" s="455" t="str">
        <f>VLOOKUP(LEFT($C$3:$C$2600,3),Table!$D$2:$E$88,2,FALSE)</f>
        <v>Selling &amp; admin expenses</v>
      </c>
      <c r="C1248" s="455" t="str">
        <f t="shared" si="39"/>
        <v>5301801500</v>
      </c>
      <c r="D1248" s="455" t="e">
        <f>VLOOKUP(G1248,Table!$G$3:$H$21,2,FALSE)</f>
        <v>#N/A</v>
      </c>
      <c r="E1248" s="452" t="s">
        <v>902</v>
      </c>
      <c r="F1248" s="452" t="s">
        <v>1595</v>
      </c>
      <c r="G1248" s="452" t="s">
        <v>1552</v>
      </c>
      <c r="H1248" s="452" t="s">
        <v>1553</v>
      </c>
      <c r="I1248" s="453" t="s">
        <v>844</v>
      </c>
      <c r="J1248" s="453">
        <v>5.72</v>
      </c>
      <c r="K1248" s="461">
        <v>0</v>
      </c>
      <c r="L1248" s="461">
        <v>5.72</v>
      </c>
      <c r="M1248" s="461">
        <v>0</v>
      </c>
      <c r="N1248" s="461">
        <v>0</v>
      </c>
      <c r="O1248" s="461">
        <v>0</v>
      </c>
      <c r="P1248" s="461">
        <v>0</v>
      </c>
      <c r="Q1248" s="461">
        <v>0</v>
      </c>
      <c r="R1248" s="461">
        <v>0</v>
      </c>
      <c r="S1248" s="461">
        <v>0</v>
      </c>
      <c r="T1248" s="461">
        <v>0</v>
      </c>
      <c r="U1248" s="461">
        <v>0</v>
      </c>
      <c r="V1248" s="461">
        <v>0</v>
      </c>
    </row>
    <row r="1249" spans="1:22" s="455" customFormat="1" hidden="1">
      <c r="A1249" s="455" t="str">
        <f t="shared" si="38"/>
        <v>18505302301100</v>
      </c>
      <c r="B1249" s="455" t="str">
        <f>VLOOKUP(LEFT($C$3:$C$2600,3),Table!$D$2:$E$88,2,FALSE)</f>
        <v>Selling &amp; admin expenses</v>
      </c>
      <c r="C1249" s="455" t="str">
        <f t="shared" si="39"/>
        <v>5302301100</v>
      </c>
      <c r="D1249" s="455" t="e">
        <f>VLOOKUP(G1249,Table!$G$3:$H$21,2,FALSE)</f>
        <v>#N/A</v>
      </c>
      <c r="E1249" s="452" t="s">
        <v>902</v>
      </c>
      <c r="F1249" s="452" t="s">
        <v>1595</v>
      </c>
      <c r="G1249" s="452" t="s">
        <v>1469</v>
      </c>
      <c r="H1249" s="452" t="s">
        <v>1470</v>
      </c>
      <c r="I1249" s="453" t="s">
        <v>844</v>
      </c>
      <c r="J1249" s="453">
        <v>3263.95</v>
      </c>
      <c r="K1249" s="461">
        <v>2353.1999999999998</v>
      </c>
      <c r="L1249" s="461">
        <v>1338.75</v>
      </c>
      <c r="M1249" s="461">
        <v>1227</v>
      </c>
      <c r="N1249" s="461">
        <v>0</v>
      </c>
      <c r="O1249" s="461">
        <v>0</v>
      </c>
      <c r="P1249" s="461">
        <v>0</v>
      </c>
      <c r="Q1249" s="461">
        <v>0</v>
      </c>
      <c r="R1249" s="461">
        <v>0</v>
      </c>
      <c r="S1249" s="461">
        <v>0</v>
      </c>
      <c r="T1249" s="461">
        <v>0</v>
      </c>
      <c r="U1249" s="461">
        <v>0</v>
      </c>
      <c r="V1249" s="461">
        <v>0</v>
      </c>
    </row>
    <row r="1250" spans="1:22" s="455" customFormat="1" hidden="1">
      <c r="A1250" s="455" t="str">
        <f t="shared" si="38"/>
        <v>18505302403300</v>
      </c>
      <c r="B1250" s="455" t="str">
        <f>VLOOKUP(LEFT($C$3:$C$2600,3),Table!$D$2:$E$88,2,FALSE)</f>
        <v>Selling &amp; admin expenses</v>
      </c>
      <c r="C1250" s="455" t="str">
        <f t="shared" si="39"/>
        <v>5302403300</v>
      </c>
      <c r="D1250" s="455" t="e">
        <f>VLOOKUP(G1250,Table!$G$3:$H$21,2,FALSE)</f>
        <v>#N/A</v>
      </c>
      <c r="E1250" s="452" t="s">
        <v>902</v>
      </c>
      <c r="F1250" s="452" t="s">
        <v>1595</v>
      </c>
      <c r="G1250" s="452" t="s">
        <v>1597</v>
      </c>
      <c r="H1250" s="452" t="s">
        <v>1482</v>
      </c>
      <c r="I1250" s="453" t="s">
        <v>844</v>
      </c>
      <c r="J1250" s="453">
        <v>7692.47</v>
      </c>
      <c r="K1250" s="461">
        <v>6151.23</v>
      </c>
      <c r="L1250" s="461">
        <v>0</v>
      </c>
      <c r="M1250" s="461">
        <v>1541.24</v>
      </c>
      <c r="N1250" s="461">
        <v>0</v>
      </c>
      <c r="O1250" s="461">
        <v>0</v>
      </c>
      <c r="P1250" s="461">
        <v>0</v>
      </c>
      <c r="Q1250" s="461">
        <v>0</v>
      </c>
      <c r="R1250" s="461">
        <v>0</v>
      </c>
      <c r="S1250" s="461">
        <v>0</v>
      </c>
      <c r="T1250" s="465">
        <v>0</v>
      </c>
      <c r="U1250" s="461">
        <v>0</v>
      </c>
      <c r="V1250" s="461">
        <v>0</v>
      </c>
    </row>
    <row r="1251" spans="1:22" s="455" customFormat="1" hidden="1">
      <c r="A1251" s="455" t="str">
        <f t="shared" si="38"/>
        <v>18505302501400</v>
      </c>
      <c r="B1251" s="455" t="str">
        <f>VLOOKUP(LEFT($C$3:$C$2600,3),Table!$D$2:$E$88,2,FALSE)</f>
        <v>Selling &amp; admin expenses</v>
      </c>
      <c r="C1251" s="455" t="str">
        <f t="shared" si="39"/>
        <v>5302501400</v>
      </c>
      <c r="D1251" s="455" t="e">
        <f>VLOOKUP(G1251,Table!$G$3:$H$21,2,FALSE)</f>
        <v>#N/A</v>
      </c>
      <c r="E1251" s="452" t="s">
        <v>902</v>
      </c>
      <c r="F1251" s="452" t="s">
        <v>1595</v>
      </c>
      <c r="G1251" s="452" t="s">
        <v>1499</v>
      </c>
      <c r="H1251" s="452" t="s">
        <v>1500</v>
      </c>
      <c r="I1251" s="453" t="s">
        <v>844</v>
      </c>
      <c r="J1251" s="453">
        <v>7956</v>
      </c>
      <c r="K1251" s="461">
        <v>0</v>
      </c>
      <c r="L1251" s="461">
        <v>7600</v>
      </c>
      <c r="M1251" s="461">
        <v>356</v>
      </c>
      <c r="N1251" s="461">
        <v>0</v>
      </c>
      <c r="O1251" s="461">
        <v>0</v>
      </c>
      <c r="P1251" s="461">
        <v>0</v>
      </c>
      <c r="Q1251" s="461">
        <v>0</v>
      </c>
      <c r="R1251" s="461">
        <v>0</v>
      </c>
      <c r="S1251" s="461">
        <v>0</v>
      </c>
      <c r="T1251" s="465">
        <v>0</v>
      </c>
      <c r="U1251" s="461">
        <v>0</v>
      </c>
      <c r="V1251" s="461">
        <v>0</v>
      </c>
    </row>
    <row r="1252" spans="1:22" s="455" customFormat="1" hidden="1">
      <c r="A1252" s="455" t="str">
        <f t="shared" si="38"/>
        <v>18505302701047</v>
      </c>
      <c r="B1252" s="455" t="str">
        <f>VLOOKUP(LEFT($C$3:$C$2600,3),Table!$D$2:$E$88,2,FALSE)</f>
        <v>Selling &amp; admin expenses</v>
      </c>
      <c r="C1252" s="455" t="str">
        <f t="shared" si="39"/>
        <v>5302701047</v>
      </c>
      <c r="D1252" s="455" t="e">
        <f>VLOOKUP(G1252,Table!$G$3:$H$21,2,FALSE)</f>
        <v>#N/A</v>
      </c>
      <c r="E1252" s="452" t="s">
        <v>902</v>
      </c>
      <c r="F1252" s="452" t="s">
        <v>1595</v>
      </c>
      <c r="G1252" s="452" t="s">
        <v>1598</v>
      </c>
      <c r="H1252" s="452" t="s">
        <v>1599</v>
      </c>
      <c r="I1252" s="453" t="s">
        <v>844</v>
      </c>
      <c r="J1252" s="453">
        <v>2534.27</v>
      </c>
      <c r="K1252" s="461">
        <v>201</v>
      </c>
      <c r="L1252" s="461">
        <v>333.27</v>
      </c>
      <c r="M1252" s="461">
        <v>2000</v>
      </c>
      <c r="N1252" s="461">
        <v>0</v>
      </c>
      <c r="O1252" s="461">
        <v>0</v>
      </c>
      <c r="P1252" s="461">
        <v>0</v>
      </c>
      <c r="Q1252" s="461">
        <v>0</v>
      </c>
      <c r="R1252" s="461">
        <v>0</v>
      </c>
      <c r="S1252" s="461">
        <v>0</v>
      </c>
      <c r="T1252" s="461">
        <v>0</v>
      </c>
      <c r="U1252" s="461">
        <v>0</v>
      </c>
      <c r="V1252" s="461">
        <v>0</v>
      </c>
    </row>
    <row r="1253" spans="1:22" s="455" customFormat="1" hidden="1">
      <c r="A1253" s="455" t="str">
        <f t="shared" si="38"/>
        <v>18505302701147</v>
      </c>
      <c r="B1253" s="455" t="str">
        <f>VLOOKUP(LEFT($C$3:$C$2600,3),Table!$D$2:$E$88,2,FALSE)</f>
        <v>Selling &amp; admin expenses</v>
      </c>
      <c r="C1253" s="455" t="str">
        <f t="shared" si="39"/>
        <v>5302701147</v>
      </c>
      <c r="D1253" s="455" t="e">
        <f>VLOOKUP(G1253,Table!$G$3:$H$21,2,FALSE)</f>
        <v>#N/A</v>
      </c>
      <c r="E1253" s="452" t="s">
        <v>902</v>
      </c>
      <c r="F1253" s="452" t="s">
        <v>1595</v>
      </c>
      <c r="G1253" s="452" t="s">
        <v>1600</v>
      </c>
      <c r="H1253" s="452" t="s">
        <v>1601</v>
      </c>
      <c r="I1253" s="453" t="s">
        <v>844</v>
      </c>
      <c r="J1253" s="453">
        <v>222.24</v>
      </c>
      <c r="K1253" s="461">
        <v>72.239999999999995</v>
      </c>
      <c r="L1253" s="461">
        <v>75</v>
      </c>
      <c r="M1253" s="461">
        <v>75</v>
      </c>
      <c r="N1253" s="461">
        <v>0</v>
      </c>
      <c r="O1253" s="461">
        <v>0</v>
      </c>
      <c r="P1253" s="461">
        <v>0</v>
      </c>
      <c r="Q1253" s="461">
        <v>0</v>
      </c>
      <c r="R1253" s="461">
        <v>0</v>
      </c>
      <c r="S1253" s="461">
        <v>0</v>
      </c>
      <c r="T1253" s="461">
        <v>0</v>
      </c>
      <c r="U1253" s="461">
        <v>0</v>
      </c>
      <c r="V1253" s="461">
        <v>0</v>
      </c>
    </row>
    <row r="1254" spans="1:22" s="455" customFormat="1" hidden="1">
      <c r="A1254" s="455" t="str">
        <f t="shared" si="38"/>
        <v>18505302701247</v>
      </c>
      <c r="B1254" s="455" t="str">
        <f>VLOOKUP(LEFT($C$3:$C$2600,3),Table!$D$2:$E$88,2,FALSE)</f>
        <v>Selling &amp; admin expenses</v>
      </c>
      <c r="C1254" s="455" t="str">
        <f t="shared" si="39"/>
        <v>5302701247</v>
      </c>
      <c r="D1254" s="455" t="e">
        <f>VLOOKUP(G1254,Table!$G$3:$H$21,2,FALSE)</f>
        <v>#N/A</v>
      </c>
      <c r="E1254" s="452" t="s">
        <v>902</v>
      </c>
      <c r="F1254" s="452" t="s">
        <v>1595</v>
      </c>
      <c r="G1254" s="452" t="s">
        <v>1602</v>
      </c>
      <c r="H1254" s="452" t="s">
        <v>1603</v>
      </c>
      <c r="I1254" s="453" t="s">
        <v>844</v>
      </c>
      <c r="J1254" s="453">
        <v>759</v>
      </c>
      <c r="K1254" s="461">
        <v>0</v>
      </c>
      <c r="L1254" s="461">
        <v>759</v>
      </c>
      <c r="M1254" s="461">
        <v>0</v>
      </c>
      <c r="N1254" s="461">
        <v>0</v>
      </c>
      <c r="O1254" s="461">
        <v>0</v>
      </c>
      <c r="P1254" s="461">
        <v>0</v>
      </c>
      <c r="Q1254" s="461">
        <v>0</v>
      </c>
      <c r="R1254" s="461">
        <v>0</v>
      </c>
      <c r="S1254" s="461">
        <v>0</v>
      </c>
      <c r="T1254" s="461">
        <v>0</v>
      </c>
      <c r="U1254" s="461">
        <v>0</v>
      </c>
      <c r="V1254" s="461">
        <v>0</v>
      </c>
    </row>
    <row r="1255" spans="1:22" s="455" customFormat="1" hidden="1">
      <c r="A1255" s="455" t="str">
        <f t="shared" si="38"/>
        <v>18505302801000</v>
      </c>
      <c r="B1255" s="455" t="str">
        <f>VLOOKUP(LEFT($C$3:$C$2600,3),Table!$D$2:$E$88,2,FALSE)</f>
        <v>Selling &amp; admin expenses</v>
      </c>
      <c r="C1255" s="455" t="str">
        <f t="shared" si="39"/>
        <v>5302801000</v>
      </c>
      <c r="D1255" s="455" t="e">
        <f>VLOOKUP(G1255,Table!$G$3:$H$21,2,FALSE)</f>
        <v>#N/A</v>
      </c>
      <c r="E1255" s="452" t="s">
        <v>902</v>
      </c>
      <c r="F1255" s="452" t="s">
        <v>1595</v>
      </c>
      <c r="G1255" s="452" t="s">
        <v>1538</v>
      </c>
      <c r="H1255" s="452" t="s">
        <v>1042</v>
      </c>
      <c r="I1255" s="453" t="s">
        <v>844</v>
      </c>
      <c r="J1255" s="453">
        <v>23440</v>
      </c>
      <c r="K1255" s="461">
        <v>21940</v>
      </c>
      <c r="L1255" s="461">
        <v>0</v>
      </c>
      <c r="M1255" s="461">
        <v>1500</v>
      </c>
      <c r="N1255" s="461">
        <v>0</v>
      </c>
      <c r="O1255" s="461">
        <v>0</v>
      </c>
      <c r="P1255" s="461">
        <v>0</v>
      </c>
      <c r="Q1255" s="461">
        <v>0</v>
      </c>
      <c r="R1255" s="461">
        <v>0</v>
      </c>
      <c r="S1255" s="461">
        <v>0</v>
      </c>
      <c r="T1255" s="461">
        <v>0</v>
      </c>
      <c r="U1255" s="461">
        <v>0</v>
      </c>
      <c r="V1255" s="461">
        <v>0</v>
      </c>
    </row>
    <row r="1256" spans="1:22" s="455" customFormat="1" hidden="1">
      <c r="A1256" s="455" t="str">
        <f t="shared" si="38"/>
        <v>18505302801100</v>
      </c>
      <c r="B1256" s="455" t="str">
        <f>VLOOKUP(LEFT($C$3:$C$2600,3),Table!$D$2:$E$88,2,FALSE)</f>
        <v>Selling &amp; admin expenses</v>
      </c>
      <c r="C1256" s="455" t="str">
        <f t="shared" si="39"/>
        <v>5302801100</v>
      </c>
      <c r="D1256" s="455" t="e">
        <f>VLOOKUP(G1256,Table!$G$3:$H$21,2,FALSE)</f>
        <v>#N/A</v>
      </c>
      <c r="E1256" s="452" t="s">
        <v>902</v>
      </c>
      <c r="F1256" s="452" t="s">
        <v>1595</v>
      </c>
      <c r="G1256" s="452" t="s">
        <v>2569</v>
      </c>
      <c r="H1256" s="452" t="s">
        <v>2570</v>
      </c>
      <c r="I1256" s="453" t="s">
        <v>844</v>
      </c>
      <c r="J1256" s="453">
        <v>1650</v>
      </c>
      <c r="K1256" s="461">
        <v>1650</v>
      </c>
      <c r="L1256" s="461">
        <v>0</v>
      </c>
      <c r="M1256" s="461">
        <v>0</v>
      </c>
      <c r="N1256" s="461">
        <v>0</v>
      </c>
      <c r="O1256" s="461">
        <v>0</v>
      </c>
      <c r="P1256" s="461">
        <v>0</v>
      </c>
      <c r="Q1256" s="461">
        <v>0</v>
      </c>
      <c r="R1256" s="461">
        <v>0</v>
      </c>
      <c r="S1256" s="461">
        <v>0</v>
      </c>
      <c r="T1256" s="461">
        <v>0</v>
      </c>
      <c r="U1256" s="461">
        <v>0</v>
      </c>
      <c r="V1256" s="461">
        <v>0</v>
      </c>
    </row>
    <row r="1257" spans="1:22" s="455" customFormat="1" hidden="1">
      <c r="A1257" s="455" t="str">
        <f t="shared" si="38"/>
        <v>18505303801000</v>
      </c>
      <c r="B1257" s="455" t="str">
        <f>VLOOKUP(LEFT($C$3:$C$2600,3),Table!$D$2:$E$88,2,FALSE)</f>
        <v>Selling &amp; admin expenses</v>
      </c>
      <c r="C1257" s="455" t="str">
        <f t="shared" si="39"/>
        <v>5303801000</v>
      </c>
      <c r="D1257" s="455" t="e">
        <f>VLOOKUP(G1257,Table!$G$3:$H$21,2,FALSE)</f>
        <v>#N/A</v>
      </c>
      <c r="E1257" s="452" t="s">
        <v>902</v>
      </c>
      <c r="F1257" s="452" t="s">
        <v>1595</v>
      </c>
      <c r="G1257" s="452" t="s">
        <v>1604</v>
      </c>
      <c r="H1257" s="452" t="s">
        <v>1605</v>
      </c>
      <c r="I1257" s="453" t="s">
        <v>844</v>
      </c>
      <c r="J1257" s="453">
        <v>300000</v>
      </c>
      <c r="K1257" s="461">
        <v>100000</v>
      </c>
      <c r="L1257" s="461">
        <v>100000</v>
      </c>
      <c r="M1257" s="461">
        <v>100000</v>
      </c>
      <c r="N1257" s="461">
        <v>0</v>
      </c>
      <c r="O1257" s="461">
        <v>0</v>
      </c>
      <c r="P1257" s="461">
        <v>0</v>
      </c>
      <c r="Q1257" s="461">
        <v>0</v>
      </c>
      <c r="R1257" s="461">
        <v>0</v>
      </c>
      <c r="S1257" s="461">
        <v>0</v>
      </c>
      <c r="T1257" s="461">
        <v>0</v>
      </c>
      <c r="U1257" s="461">
        <v>0</v>
      </c>
      <c r="V1257" s="461">
        <v>0</v>
      </c>
    </row>
    <row r="1258" spans="1:22" s="455" customFormat="1" hidden="1">
      <c r="A1258" s="455" t="str">
        <f t="shared" si="38"/>
        <v>18505305201000</v>
      </c>
      <c r="B1258" s="455" t="str">
        <f>VLOOKUP(LEFT($C$3:$C$2600,3),Table!$D$2:$E$88,2,FALSE)</f>
        <v>Selling &amp; admin expenses</v>
      </c>
      <c r="C1258" s="455" t="str">
        <f t="shared" si="39"/>
        <v>5305201000</v>
      </c>
      <c r="D1258" s="455" t="e">
        <f>VLOOKUP(G1258,Table!$G$3:$H$21,2,FALSE)</f>
        <v>#N/A</v>
      </c>
      <c r="E1258" s="452" t="s">
        <v>902</v>
      </c>
      <c r="F1258" s="452" t="s">
        <v>1595</v>
      </c>
      <c r="G1258" s="452" t="s">
        <v>1471</v>
      </c>
      <c r="H1258" s="452" t="s">
        <v>1472</v>
      </c>
      <c r="I1258" s="453" t="s">
        <v>844</v>
      </c>
      <c r="J1258" s="453">
        <v>5831.8</v>
      </c>
      <c r="K1258" s="461">
        <v>1734</v>
      </c>
      <c r="L1258" s="461">
        <v>892</v>
      </c>
      <c r="M1258" s="461">
        <v>3231.9</v>
      </c>
      <c r="N1258" s="461">
        <v>0</v>
      </c>
      <c r="O1258" s="461">
        <v>0</v>
      </c>
      <c r="P1258" s="461">
        <v>0</v>
      </c>
      <c r="Q1258" s="461">
        <v>0</v>
      </c>
      <c r="R1258" s="461">
        <v>0</v>
      </c>
      <c r="S1258" s="461">
        <v>0</v>
      </c>
      <c r="T1258" s="461">
        <v>0</v>
      </c>
      <c r="U1258" s="461">
        <v>0</v>
      </c>
      <c r="V1258" s="461">
        <v>0</v>
      </c>
    </row>
    <row r="1259" spans="1:22" s="455" customFormat="1" hidden="1">
      <c r="A1259" s="455" t="str">
        <f t="shared" si="38"/>
        <v>19105300801000</v>
      </c>
      <c r="B1259" s="455" t="str">
        <f>VLOOKUP(LEFT($C$3:$C$2600,3),Table!$D$2:$E$88,2,FALSE)</f>
        <v>Selling &amp; admin expenses</v>
      </c>
      <c r="C1259" s="455" t="str">
        <f t="shared" si="39"/>
        <v>5300801000</v>
      </c>
      <c r="D1259" s="455" t="e">
        <f>VLOOKUP(G1259,Table!$G$3:$H$21,2,FALSE)</f>
        <v>#N/A</v>
      </c>
      <c r="E1259" s="452" t="s">
        <v>902</v>
      </c>
      <c r="F1259" s="452" t="s">
        <v>1606</v>
      </c>
      <c r="G1259" s="452" t="s">
        <v>1516</v>
      </c>
      <c r="H1259" s="452" t="s">
        <v>994</v>
      </c>
      <c r="I1259" s="453" t="s">
        <v>844</v>
      </c>
      <c r="J1259" s="453">
        <v>51480</v>
      </c>
      <c r="K1259" s="461">
        <v>16060</v>
      </c>
      <c r="L1259" s="461">
        <v>16060</v>
      </c>
      <c r="M1259" s="461">
        <v>19360</v>
      </c>
      <c r="N1259" s="461">
        <v>0</v>
      </c>
      <c r="O1259" s="461">
        <v>0</v>
      </c>
      <c r="P1259" s="461">
        <v>0</v>
      </c>
      <c r="Q1259" s="461">
        <v>0</v>
      </c>
      <c r="R1259" s="461">
        <v>0</v>
      </c>
      <c r="S1259" s="461">
        <v>0</v>
      </c>
      <c r="T1259" s="461">
        <v>0</v>
      </c>
      <c r="U1259" s="461">
        <v>0</v>
      </c>
      <c r="V1259" s="461">
        <v>0</v>
      </c>
    </row>
    <row r="1260" spans="1:22" s="455" customFormat="1" hidden="1">
      <c r="A1260" s="455" t="str">
        <f t="shared" si="38"/>
        <v>19105300801400</v>
      </c>
      <c r="B1260" s="455" t="str">
        <f>VLOOKUP(LEFT($C$3:$C$2600,3),Table!$D$2:$E$88,2,FALSE)</f>
        <v>Selling &amp; admin expenses</v>
      </c>
      <c r="C1260" s="455" t="str">
        <f t="shared" si="39"/>
        <v>5300801400</v>
      </c>
      <c r="D1260" s="455" t="e">
        <f>VLOOKUP(G1260,Table!$G$3:$H$21,2,FALSE)</f>
        <v>#N/A</v>
      </c>
      <c r="E1260" s="452" t="s">
        <v>902</v>
      </c>
      <c r="F1260" s="452" t="s">
        <v>1606</v>
      </c>
      <c r="G1260" s="452" t="s">
        <v>1517</v>
      </c>
      <c r="H1260" s="452" t="s">
        <v>998</v>
      </c>
      <c r="I1260" s="453" t="s">
        <v>844</v>
      </c>
      <c r="J1260" s="453">
        <v>7305</v>
      </c>
      <c r="K1260" s="461">
        <v>2302</v>
      </c>
      <c r="L1260" s="461">
        <v>2302</v>
      </c>
      <c r="M1260" s="461">
        <v>2701</v>
      </c>
      <c r="N1260" s="461">
        <v>0</v>
      </c>
      <c r="O1260" s="461">
        <v>0</v>
      </c>
      <c r="P1260" s="461">
        <v>0</v>
      </c>
      <c r="Q1260" s="461">
        <v>0</v>
      </c>
      <c r="R1260" s="461">
        <v>0</v>
      </c>
      <c r="S1260" s="461">
        <v>0</v>
      </c>
      <c r="T1260" s="461">
        <v>0</v>
      </c>
      <c r="U1260" s="461">
        <v>0</v>
      </c>
      <c r="V1260" s="461">
        <v>0</v>
      </c>
    </row>
    <row r="1261" spans="1:22" s="455" customFormat="1" hidden="1">
      <c r="A1261" s="455" t="str">
        <f t="shared" si="38"/>
        <v>19105300801500</v>
      </c>
      <c r="B1261" s="455" t="str">
        <f>VLOOKUP(LEFT($C$3:$C$2600,3),Table!$D$2:$E$88,2,FALSE)</f>
        <v>Selling &amp; admin expenses</v>
      </c>
      <c r="C1261" s="455" t="str">
        <f t="shared" si="39"/>
        <v>5300801500</v>
      </c>
      <c r="D1261" s="455" t="e">
        <f>VLOOKUP(G1261,Table!$G$3:$H$21,2,FALSE)</f>
        <v>#N/A</v>
      </c>
      <c r="E1261" s="452" t="s">
        <v>902</v>
      </c>
      <c r="F1261" s="452" t="s">
        <v>1606</v>
      </c>
      <c r="G1261" s="452" t="s">
        <v>1518</v>
      </c>
      <c r="H1261" s="452" t="s">
        <v>1136</v>
      </c>
      <c r="I1261" s="453" t="s">
        <v>844</v>
      </c>
      <c r="J1261" s="453">
        <v>671.45</v>
      </c>
      <c r="K1261" s="461">
        <v>206.6</v>
      </c>
      <c r="L1261" s="461">
        <v>206.6</v>
      </c>
      <c r="M1261" s="461">
        <v>258.25</v>
      </c>
      <c r="N1261" s="461">
        <v>0</v>
      </c>
      <c r="O1261" s="461">
        <v>0</v>
      </c>
      <c r="P1261" s="461">
        <v>0</v>
      </c>
      <c r="Q1261" s="461">
        <v>0</v>
      </c>
      <c r="R1261" s="461">
        <v>0</v>
      </c>
      <c r="S1261" s="461">
        <v>0</v>
      </c>
      <c r="T1261" s="461">
        <v>0</v>
      </c>
      <c r="U1261" s="461">
        <v>0</v>
      </c>
      <c r="V1261" s="461">
        <v>0</v>
      </c>
    </row>
    <row r="1262" spans="1:22" s="455" customFormat="1" hidden="1">
      <c r="A1262" s="455" t="str">
        <f t="shared" si="38"/>
        <v>19105300801600</v>
      </c>
      <c r="B1262" s="455" t="str">
        <f>VLOOKUP(LEFT($C$3:$C$2600,3),Table!$D$2:$E$88,2,FALSE)</f>
        <v>Selling &amp; admin expenses</v>
      </c>
      <c r="C1262" s="455" t="str">
        <f t="shared" si="39"/>
        <v>5300801600</v>
      </c>
      <c r="D1262" s="455" t="e">
        <f>VLOOKUP(G1262,Table!$G$3:$H$21,2,FALSE)</f>
        <v>#N/A</v>
      </c>
      <c r="E1262" s="452" t="s">
        <v>902</v>
      </c>
      <c r="F1262" s="452" t="s">
        <v>1606</v>
      </c>
      <c r="G1262" s="452" t="s">
        <v>1519</v>
      </c>
      <c r="H1262" s="452" t="s">
        <v>1002</v>
      </c>
      <c r="I1262" s="453" t="s">
        <v>844</v>
      </c>
      <c r="J1262" s="453">
        <v>15810</v>
      </c>
      <c r="K1262" s="461">
        <v>5270</v>
      </c>
      <c r="L1262" s="461">
        <v>5270</v>
      </c>
      <c r="M1262" s="461">
        <v>5270</v>
      </c>
      <c r="N1262" s="461">
        <v>0</v>
      </c>
      <c r="O1262" s="461">
        <v>0</v>
      </c>
      <c r="P1262" s="461">
        <v>0</v>
      </c>
      <c r="Q1262" s="461">
        <v>0</v>
      </c>
      <c r="R1262" s="461">
        <v>0</v>
      </c>
      <c r="S1262" s="461">
        <v>0</v>
      </c>
      <c r="T1262" s="461">
        <v>0</v>
      </c>
      <c r="U1262" s="461">
        <v>0</v>
      </c>
      <c r="V1262" s="461">
        <v>0</v>
      </c>
    </row>
    <row r="1263" spans="1:22" s="455" customFormat="1" hidden="1">
      <c r="A1263" s="455" t="str">
        <f t="shared" si="38"/>
        <v>19105300801900</v>
      </c>
      <c r="B1263" s="455" t="str">
        <f>VLOOKUP(LEFT($C$3:$C$2600,3),Table!$D$2:$E$88,2,FALSE)</f>
        <v>Selling &amp; admin expenses</v>
      </c>
      <c r="C1263" s="455" t="str">
        <f t="shared" si="39"/>
        <v>5300801900</v>
      </c>
      <c r="D1263" s="455" t="e">
        <f>VLOOKUP(G1263,Table!$G$3:$H$21,2,FALSE)</f>
        <v>#N/A</v>
      </c>
      <c r="E1263" s="452" t="s">
        <v>902</v>
      </c>
      <c r="F1263" s="452" t="s">
        <v>1606</v>
      </c>
      <c r="G1263" s="452" t="s">
        <v>1520</v>
      </c>
      <c r="H1263" s="452" t="s">
        <v>1007</v>
      </c>
      <c r="I1263" s="453" t="s">
        <v>844</v>
      </c>
      <c r="J1263" s="453">
        <v>514.79999999999995</v>
      </c>
      <c r="K1263" s="461">
        <v>160.6</v>
      </c>
      <c r="L1263" s="461">
        <v>160.6</v>
      </c>
      <c r="M1263" s="461">
        <v>193.6</v>
      </c>
      <c r="N1263" s="461">
        <v>0</v>
      </c>
      <c r="O1263" s="461">
        <v>0</v>
      </c>
      <c r="P1263" s="461">
        <v>0</v>
      </c>
      <c r="Q1263" s="461">
        <v>0</v>
      </c>
      <c r="R1263" s="461">
        <v>0</v>
      </c>
      <c r="S1263" s="461">
        <v>0</v>
      </c>
      <c r="T1263" s="461">
        <v>0</v>
      </c>
      <c r="U1263" s="461">
        <v>0</v>
      </c>
      <c r="V1263" s="461">
        <v>0</v>
      </c>
    </row>
    <row r="1264" spans="1:22" s="455" customFormat="1" hidden="1">
      <c r="A1264" s="455" t="str">
        <f t="shared" si="38"/>
        <v>19105301501100</v>
      </c>
      <c r="B1264" s="455" t="str">
        <f>VLOOKUP(LEFT($C$3:$C$2600,3),Table!$D$2:$E$88,2,FALSE)</f>
        <v>Selling &amp; admin expenses</v>
      </c>
      <c r="C1264" s="455" t="str">
        <f t="shared" si="39"/>
        <v>5301501100</v>
      </c>
      <c r="D1264" s="455" t="e">
        <f>VLOOKUP(G1264,Table!$G$3:$H$21,2,FALSE)</f>
        <v>#N/A</v>
      </c>
      <c r="E1264" s="452" t="s">
        <v>902</v>
      </c>
      <c r="F1264" s="452" t="s">
        <v>1606</v>
      </c>
      <c r="G1264" s="452" t="s">
        <v>1521</v>
      </c>
      <c r="H1264" s="452" t="s">
        <v>1010</v>
      </c>
      <c r="I1264" s="453" t="s">
        <v>844</v>
      </c>
      <c r="J1264" s="453">
        <v>102</v>
      </c>
      <c r="K1264" s="461">
        <v>72</v>
      </c>
      <c r="L1264" s="461">
        <v>0</v>
      </c>
      <c r="M1264" s="461">
        <v>129</v>
      </c>
      <c r="N1264" s="461">
        <v>0</v>
      </c>
      <c r="O1264" s="461">
        <v>0</v>
      </c>
      <c r="P1264" s="461">
        <v>0</v>
      </c>
      <c r="Q1264" s="461">
        <v>0</v>
      </c>
      <c r="R1264" s="461">
        <v>0</v>
      </c>
      <c r="S1264" s="461">
        <v>0</v>
      </c>
      <c r="T1264" s="461">
        <v>0</v>
      </c>
      <c r="U1264" s="461">
        <v>0</v>
      </c>
      <c r="V1264" s="461">
        <v>0</v>
      </c>
    </row>
    <row r="1265" spans="1:22" s="455" customFormat="1" hidden="1">
      <c r="A1265" s="455" t="str">
        <f t="shared" si="38"/>
        <v>19105301501310</v>
      </c>
      <c r="B1265" s="455" t="str">
        <f>VLOOKUP(LEFT($C$3:$C$2600,3),Table!$D$2:$E$88,2,FALSE)</f>
        <v>Selling &amp; admin expenses</v>
      </c>
      <c r="C1265" s="455" t="str">
        <f t="shared" si="39"/>
        <v>5301501310</v>
      </c>
      <c r="D1265" s="455" t="e">
        <f>VLOOKUP(G1265,Table!$G$3:$H$21,2,FALSE)</f>
        <v>#N/A</v>
      </c>
      <c r="E1265" s="452" t="s">
        <v>902</v>
      </c>
      <c r="F1265" s="452" t="s">
        <v>1606</v>
      </c>
      <c r="G1265" s="452" t="s">
        <v>1607</v>
      </c>
      <c r="H1265" s="452" t="s">
        <v>1608</v>
      </c>
      <c r="I1265" s="453" t="s">
        <v>844</v>
      </c>
      <c r="J1265" s="453">
        <v>413.86</v>
      </c>
      <c r="K1265" s="461">
        <v>413.86</v>
      </c>
      <c r="L1265" s="461">
        <v>146.63</v>
      </c>
      <c r="M1265" s="461">
        <v>252.7</v>
      </c>
      <c r="N1265" s="461">
        <v>0</v>
      </c>
      <c r="O1265" s="461">
        <v>0</v>
      </c>
      <c r="P1265" s="461">
        <v>0</v>
      </c>
      <c r="Q1265" s="461">
        <v>0</v>
      </c>
      <c r="R1265" s="461">
        <v>0</v>
      </c>
      <c r="S1265" s="461">
        <v>0</v>
      </c>
      <c r="T1265" s="461">
        <v>0</v>
      </c>
      <c r="U1265" s="461">
        <v>0</v>
      </c>
      <c r="V1265" s="461">
        <v>0</v>
      </c>
    </row>
    <row r="1266" spans="1:22" s="455" customFormat="1" hidden="1">
      <c r="A1266" s="455" t="str">
        <f t="shared" si="38"/>
        <v>19105301501324</v>
      </c>
      <c r="B1266" s="455" t="str">
        <f>VLOOKUP(LEFT($C$3:$C$2600,3),Table!$D$2:$E$88,2,FALSE)</f>
        <v>Selling &amp; admin expenses</v>
      </c>
      <c r="C1266" s="455" t="str">
        <f t="shared" si="39"/>
        <v>5301501324</v>
      </c>
      <c r="D1266" s="455" t="e">
        <f>VLOOKUP(G1266,Table!$G$3:$H$21,2,FALSE)</f>
        <v>#N/A</v>
      </c>
      <c r="E1266" s="452" t="s">
        <v>902</v>
      </c>
      <c r="F1266" s="452" t="s">
        <v>1606</v>
      </c>
      <c r="G1266" s="452" t="s">
        <v>1609</v>
      </c>
      <c r="H1266" s="452" t="s">
        <v>1610</v>
      </c>
      <c r="I1266" s="453" t="s">
        <v>844</v>
      </c>
      <c r="J1266" s="453">
        <v>88.29</v>
      </c>
      <c r="K1266" s="461">
        <v>88.29</v>
      </c>
      <c r="L1266" s="461">
        <v>264.5</v>
      </c>
      <c r="M1266" s="461">
        <v>-264.5</v>
      </c>
      <c r="N1266" s="461">
        <v>0</v>
      </c>
      <c r="O1266" s="461">
        <v>0</v>
      </c>
      <c r="P1266" s="461">
        <v>0</v>
      </c>
      <c r="Q1266" s="461">
        <v>0</v>
      </c>
      <c r="R1266" s="461">
        <v>0</v>
      </c>
      <c r="S1266" s="461">
        <v>0</v>
      </c>
      <c r="T1266" s="461">
        <v>0</v>
      </c>
      <c r="U1266" s="461">
        <v>0</v>
      </c>
      <c r="V1266" s="461">
        <v>0</v>
      </c>
    </row>
    <row r="1267" spans="1:22" s="455" customFormat="1" hidden="1">
      <c r="A1267" s="455" t="str">
        <f t="shared" si="38"/>
        <v>19105301501400</v>
      </c>
      <c r="B1267" s="455" t="str">
        <f>VLOOKUP(LEFT($C$3:$C$2600,3),Table!$D$2:$E$88,2,FALSE)</f>
        <v>Selling &amp; admin expenses</v>
      </c>
      <c r="C1267" s="455" t="str">
        <f t="shared" si="39"/>
        <v>5301501400</v>
      </c>
      <c r="D1267" s="455" t="e">
        <f>VLOOKUP(G1267,Table!$G$3:$H$21,2,FALSE)</f>
        <v>#N/A</v>
      </c>
      <c r="E1267" s="452" t="s">
        <v>902</v>
      </c>
      <c r="F1267" s="452" t="s">
        <v>1606</v>
      </c>
      <c r="G1267" s="452" t="s">
        <v>1522</v>
      </c>
      <c r="H1267" s="452" t="s">
        <v>1523</v>
      </c>
      <c r="I1267" s="453" t="s">
        <v>844</v>
      </c>
      <c r="J1267" s="453">
        <v>449.7</v>
      </c>
      <c r="K1267" s="461">
        <v>8.4</v>
      </c>
      <c r="L1267" s="461">
        <v>304</v>
      </c>
      <c r="M1267" s="461">
        <v>152.69999999999999</v>
      </c>
      <c r="N1267" s="461">
        <v>0</v>
      </c>
      <c r="O1267" s="461">
        <v>0</v>
      </c>
      <c r="P1267" s="461">
        <v>0</v>
      </c>
      <c r="Q1267" s="461">
        <v>0</v>
      </c>
      <c r="R1267" s="461">
        <v>0</v>
      </c>
      <c r="S1267" s="461">
        <v>0</v>
      </c>
      <c r="T1267" s="461">
        <v>0</v>
      </c>
      <c r="U1267" s="461">
        <v>0</v>
      </c>
      <c r="V1267" s="461">
        <v>0</v>
      </c>
    </row>
    <row r="1268" spans="1:22" s="455" customFormat="1" hidden="1">
      <c r="A1268" s="455" t="str">
        <f t="shared" si="38"/>
        <v>19105301601000</v>
      </c>
      <c r="B1268" s="455" t="str">
        <f>VLOOKUP(LEFT($C$3:$C$2600,3),Table!$D$2:$E$88,2,FALSE)</f>
        <v>Selling &amp; admin expenses</v>
      </c>
      <c r="C1268" s="455" t="str">
        <f t="shared" si="39"/>
        <v>5301601000</v>
      </c>
      <c r="D1268" s="455" t="e">
        <f>VLOOKUP(G1268,Table!$G$3:$H$21,2,FALSE)</f>
        <v>#N/A</v>
      </c>
      <c r="E1268" s="452" t="s">
        <v>902</v>
      </c>
      <c r="F1268" s="452" t="s">
        <v>1606</v>
      </c>
      <c r="G1268" s="452" t="s">
        <v>1524</v>
      </c>
      <c r="H1268" s="452" t="s">
        <v>1014</v>
      </c>
      <c r="I1268" s="453" t="s">
        <v>844</v>
      </c>
      <c r="J1268" s="453">
        <v>1539.75</v>
      </c>
      <c r="K1268" s="461">
        <v>0</v>
      </c>
      <c r="L1268" s="461">
        <v>1345.75</v>
      </c>
      <c r="M1268" s="461">
        <v>194</v>
      </c>
      <c r="N1268" s="461">
        <v>0</v>
      </c>
      <c r="O1268" s="461">
        <v>0</v>
      </c>
      <c r="P1268" s="461">
        <v>0</v>
      </c>
      <c r="Q1268" s="461">
        <v>0</v>
      </c>
      <c r="R1268" s="461">
        <v>0</v>
      </c>
      <c r="S1268" s="461">
        <v>0</v>
      </c>
      <c r="T1268" s="461">
        <v>0</v>
      </c>
      <c r="U1268" s="461">
        <v>0</v>
      </c>
      <c r="V1268" s="461">
        <v>0</v>
      </c>
    </row>
    <row r="1269" spans="1:22" s="455" customFormat="1" hidden="1">
      <c r="A1269" s="455" t="str">
        <f t="shared" si="38"/>
        <v>19105301601001</v>
      </c>
      <c r="B1269" s="455" t="str">
        <f>VLOOKUP(LEFT($C$3:$C$2600,3),Table!$D$2:$E$88,2,FALSE)</f>
        <v>Selling &amp; admin expenses</v>
      </c>
      <c r="C1269" s="455" t="str">
        <f t="shared" si="39"/>
        <v>5301601001</v>
      </c>
      <c r="D1269" s="455" t="e">
        <f>VLOOKUP(G1269,Table!$G$3:$H$21,2,FALSE)</f>
        <v>#N/A</v>
      </c>
      <c r="E1269" s="452" t="s">
        <v>902</v>
      </c>
      <c r="F1269" s="452" t="s">
        <v>1606</v>
      </c>
      <c r="G1269" s="452" t="s">
        <v>1525</v>
      </c>
      <c r="H1269" s="452" t="s">
        <v>1016</v>
      </c>
      <c r="I1269" s="453" t="s">
        <v>844</v>
      </c>
      <c r="J1269" s="453">
        <v>100</v>
      </c>
      <c r="K1269" s="461">
        <v>40</v>
      </c>
      <c r="L1269" s="461">
        <v>0</v>
      </c>
      <c r="M1269" s="461">
        <v>120</v>
      </c>
      <c r="N1269" s="461">
        <v>0</v>
      </c>
      <c r="O1269" s="461">
        <v>0</v>
      </c>
      <c r="P1269" s="461">
        <v>0</v>
      </c>
      <c r="Q1269" s="461">
        <v>0</v>
      </c>
      <c r="R1269" s="461">
        <v>0</v>
      </c>
      <c r="S1269" s="461">
        <v>0</v>
      </c>
      <c r="T1269" s="461">
        <v>0</v>
      </c>
      <c r="U1269" s="461">
        <v>0</v>
      </c>
      <c r="V1269" s="461">
        <v>0</v>
      </c>
    </row>
    <row r="1270" spans="1:22" s="455" customFormat="1" hidden="1">
      <c r="A1270" s="455" t="str">
        <f t="shared" si="38"/>
        <v>19105301601100</v>
      </c>
      <c r="B1270" s="455" t="str">
        <f>VLOOKUP(LEFT($C$3:$C$2600,3),Table!$D$2:$E$88,2,FALSE)</f>
        <v>Selling &amp; admin expenses</v>
      </c>
      <c r="C1270" s="455" t="str">
        <f t="shared" si="39"/>
        <v>5301601100</v>
      </c>
      <c r="D1270" s="455" t="e">
        <f>VLOOKUP(G1270,Table!$G$3:$H$21,2,FALSE)</f>
        <v>#N/A</v>
      </c>
      <c r="E1270" s="452" t="s">
        <v>902</v>
      </c>
      <c r="F1270" s="452" t="s">
        <v>1606</v>
      </c>
      <c r="G1270" s="452" t="s">
        <v>1579</v>
      </c>
      <c r="H1270" s="452" t="s">
        <v>1580</v>
      </c>
      <c r="I1270" s="453" t="s">
        <v>844</v>
      </c>
      <c r="J1270" s="453">
        <v>576</v>
      </c>
      <c r="K1270" s="461">
        <v>113</v>
      </c>
      <c r="L1270" s="461">
        <v>463</v>
      </c>
      <c r="M1270" s="461">
        <v>0</v>
      </c>
      <c r="N1270" s="461">
        <v>0</v>
      </c>
      <c r="O1270" s="461">
        <v>0</v>
      </c>
      <c r="P1270" s="461">
        <v>0</v>
      </c>
      <c r="Q1270" s="461">
        <v>0</v>
      </c>
      <c r="R1270" s="461">
        <v>0</v>
      </c>
      <c r="S1270" s="461">
        <v>0</v>
      </c>
      <c r="T1270" s="461">
        <v>0</v>
      </c>
      <c r="U1270" s="461">
        <v>0</v>
      </c>
      <c r="V1270" s="461">
        <v>0</v>
      </c>
    </row>
    <row r="1271" spans="1:22" s="455" customFormat="1" hidden="1">
      <c r="A1271" s="455" t="str">
        <f t="shared" si="38"/>
        <v>19105301701010</v>
      </c>
      <c r="B1271" s="455" t="str">
        <f>VLOOKUP(LEFT($C$3:$C$2600,3),Table!$D$2:$E$88,2,FALSE)</f>
        <v>Selling &amp; admin expenses</v>
      </c>
      <c r="C1271" s="455" t="str">
        <f t="shared" si="39"/>
        <v>5301701010</v>
      </c>
      <c r="D1271" s="455" t="e">
        <f>VLOOKUP(G1271,Table!$G$3:$H$21,2,FALSE)</f>
        <v>#N/A</v>
      </c>
      <c r="E1271" s="452" t="s">
        <v>902</v>
      </c>
      <c r="F1271" s="452" t="s">
        <v>1606</v>
      </c>
      <c r="G1271" s="452" t="s">
        <v>1550</v>
      </c>
      <c r="H1271" s="452" t="s">
        <v>1551</v>
      </c>
      <c r="I1271" s="453" t="s">
        <v>844</v>
      </c>
      <c r="J1271" s="453">
        <v>317.45999999999998</v>
      </c>
      <c r="K1271" s="461">
        <v>98.35</v>
      </c>
      <c r="L1271" s="461">
        <v>219.11</v>
      </c>
      <c r="M1271" s="461">
        <v>150.38</v>
      </c>
      <c r="N1271" s="461">
        <v>0</v>
      </c>
      <c r="O1271" s="461">
        <v>0</v>
      </c>
      <c r="P1271" s="461">
        <v>0</v>
      </c>
      <c r="Q1271" s="461">
        <v>0</v>
      </c>
      <c r="R1271" s="461">
        <v>0</v>
      </c>
      <c r="S1271" s="461">
        <v>0</v>
      </c>
      <c r="T1271" s="461">
        <v>0</v>
      </c>
      <c r="U1271" s="461">
        <v>0</v>
      </c>
      <c r="V1271" s="461">
        <v>0</v>
      </c>
    </row>
    <row r="1272" spans="1:22" s="455" customFormat="1" hidden="1">
      <c r="A1272" s="455" t="str">
        <f t="shared" si="38"/>
        <v>19105301801100</v>
      </c>
      <c r="B1272" s="455" t="str">
        <f>VLOOKUP(LEFT($C$3:$C$2600,3),Table!$D$2:$E$88,2,FALSE)</f>
        <v>Selling &amp; admin expenses</v>
      </c>
      <c r="C1272" s="455" t="str">
        <f t="shared" si="39"/>
        <v>5301801100</v>
      </c>
      <c r="D1272" s="455" t="e">
        <f>VLOOKUP(G1272,Table!$G$3:$H$21,2,FALSE)</f>
        <v>#N/A</v>
      </c>
      <c r="E1272" s="452" t="s">
        <v>902</v>
      </c>
      <c r="F1272" s="452" t="s">
        <v>1606</v>
      </c>
      <c r="G1272" s="452" t="s">
        <v>1526</v>
      </c>
      <c r="H1272" s="452" t="s">
        <v>1527</v>
      </c>
      <c r="I1272" s="453" t="s">
        <v>844</v>
      </c>
      <c r="J1272" s="453">
        <v>608.5</v>
      </c>
      <c r="K1272" s="461">
        <v>0</v>
      </c>
      <c r="L1272" s="461">
        <v>0</v>
      </c>
      <c r="M1272" s="461">
        <v>608.5</v>
      </c>
      <c r="N1272" s="461">
        <v>0</v>
      </c>
      <c r="O1272" s="461">
        <v>0</v>
      </c>
      <c r="P1272" s="461">
        <v>0</v>
      </c>
      <c r="Q1272" s="461">
        <v>0</v>
      </c>
      <c r="R1272" s="461">
        <v>0</v>
      </c>
      <c r="S1272" s="461">
        <v>0</v>
      </c>
      <c r="T1272" s="461">
        <v>0</v>
      </c>
      <c r="U1272" s="461">
        <v>0</v>
      </c>
      <c r="V1272" s="461">
        <v>0</v>
      </c>
    </row>
    <row r="1273" spans="1:22" s="455" customFormat="1" hidden="1">
      <c r="A1273" s="455" t="str">
        <f t="shared" si="38"/>
        <v>19105301801900</v>
      </c>
      <c r="B1273" s="455" t="str">
        <f>VLOOKUP(LEFT($C$3:$C$2600,3),Table!$D$2:$E$88,2,FALSE)</f>
        <v>Selling &amp; admin expenses</v>
      </c>
      <c r="C1273" s="455" t="str">
        <f t="shared" si="39"/>
        <v>5301801900</v>
      </c>
      <c r="D1273" s="455" t="e">
        <f>VLOOKUP(G1273,Table!$G$3:$H$21,2,FALSE)</f>
        <v>#N/A</v>
      </c>
      <c r="E1273" s="452" t="s">
        <v>902</v>
      </c>
      <c r="F1273" s="452" t="s">
        <v>1606</v>
      </c>
      <c r="G1273" s="452" t="s">
        <v>2571</v>
      </c>
      <c r="H1273" s="452" t="s">
        <v>2572</v>
      </c>
      <c r="I1273" s="453" t="s">
        <v>844</v>
      </c>
      <c r="J1273" s="453">
        <v>135</v>
      </c>
      <c r="K1273" s="461">
        <v>90</v>
      </c>
      <c r="L1273" s="461">
        <v>0</v>
      </c>
      <c r="M1273" s="461">
        <v>45</v>
      </c>
      <c r="N1273" s="461">
        <v>0</v>
      </c>
      <c r="O1273" s="461">
        <v>0</v>
      </c>
      <c r="P1273" s="461">
        <v>0</v>
      </c>
      <c r="Q1273" s="461">
        <v>0</v>
      </c>
      <c r="R1273" s="461">
        <v>0</v>
      </c>
      <c r="S1273" s="461">
        <v>0</v>
      </c>
      <c r="T1273" s="461">
        <v>0</v>
      </c>
      <c r="U1273" s="461">
        <v>0</v>
      </c>
      <c r="V1273" s="461">
        <v>0</v>
      </c>
    </row>
    <row r="1274" spans="1:22" s="455" customFormat="1" hidden="1">
      <c r="A1274" s="455" t="str">
        <f t="shared" si="38"/>
        <v>19105302701110</v>
      </c>
      <c r="B1274" s="455" t="str">
        <f>VLOOKUP(LEFT($C$3:$C$2600,3),Table!$D$2:$E$88,2,FALSE)</f>
        <v>Selling &amp; admin expenses</v>
      </c>
      <c r="C1274" s="455" t="str">
        <f t="shared" si="39"/>
        <v>5302701110</v>
      </c>
      <c r="D1274" s="455" t="e">
        <f>VLOOKUP(G1274,Table!$G$3:$H$21,2,FALSE)</f>
        <v>#N/A</v>
      </c>
      <c r="E1274" s="452" t="s">
        <v>902</v>
      </c>
      <c r="F1274" s="452" t="s">
        <v>1606</v>
      </c>
      <c r="G1274" s="452" t="s">
        <v>1613</v>
      </c>
      <c r="H1274" s="452" t="s">
        <v>1614</v>
      </c>
      <c r="I1274" s="453" t="s">
        <v>844</v>
      </c>
      <c r="J1274" s="453">
        <v>242.08</v>
      </c>
      <c r="K1274" s="461">
        <v>82.08</v>
      </c>
      <c r="L1274" s="461">
        <v>80</v>
      </c>
      <c r="M1274" s="461">
        <v>80</v>
      </c>
      <c r="N1274" s="461">
        <v>0</v>
      </c>
      <c r="O1274" s="461">
        <v>0</v>
      </c>
      <c r="P1274" s="461">
        <v>0</v>
      </c>
      <c r="Q1274" s="461">
        <v>0</v>
      </c>
      <c r="R1274" s="461">
        <v>0</v>
      </c>
      <c r="S1274" s="461">
        <v>0</v>
      </c>
      <c r="T1274" s="461">
        <v>0</v>
      </c>
      <c r="U1274" s="461">
        <v>0</v>
      </c>
      <c r="V1274" s="461">
        <v>0</v>
      </c>
    </row>
    <row r="1275" spans="1:22" s="455" customFormat="1" hidden="1">
      <c r="A1275" s="455" t="str">
        <f t="shared" si="38"/>
        <v>19105303001600</v>
      </c>
      <c r="B1275" s="455" t="str">
        <f>VLOOKUP(LEFT($C$3:$C$2600,3),Table!$D$2:$E$88,2,FALSE)</f>
        <v>Selling &amp; admin expenses</v>
      </c>
      <c r="C1275" s="455" t="str">
        <f t="shared" si="39"/>
        <v>5303001600</v>
      </c>
      <c r="D1275" s="455" t="e">
        <f>VLOOKUP(G1275,Table!$G$3:$H$21,2,FALSE)</f>
        <v>#N/A</v>
      </c>
      <c r="E1275" s="452" t="s">
        <v>902</v>
      </c>
      <c r="F1275" s="452" t="s">
        <v>1606</v>
      </c>
      <c r="G1275" s="452" t="s">
        <v>1563</v>
      </c>
      <c r="H1275" s="452" t="s">
        <v>1564</v>
      </c>
      <c r="I1275" s="453" t="s">
        <v>844</v>
      </c>
      <c r="J1275" s="453">
        <v>8970</v>
      </c>
      <c r="K1275" s="461">
        <v>2990</v>
      </c>
      <c r="L1275" s="461">
        <v>2990</v>
      </c>
      <c r="M1275" s="461">
        <v>2990</v>
      </c>
      <c r="N1275" s="461">
        <v>0</v>
      </c>
      <c r="O1275" s="461">
        <v>0</v>
      </c>
      <c r="P1275" s="461">
        <v>0</v>
      </c>
      <c r="Q1275" s="461">
        <v>0</v>
      </c>
      <c r="R1275" s="461">
        <v>0</v>
      </c>
      <c r="S1275" s="461">
        <v>0</v>
      </c>
      <c r="T1275" s="461">
        <v>0</v>
      </c>
      <c r="U1275" s="461">
        <v>0</v>
      </c>
      <c r="V1275" s="461">
        <v>0</v>
      </c>
    </row>
    <row r="1276" spans="1:22" s="455" customFormat="1" hidden="1">
      <c r="A1276" s="455" t="str">
        <f t="shared" si="38"/>
        <v>19305300801000</v>
      </c>
      <c r="B1276" s="455" t="str">
        <f>VLOOKUP(LEFT($C$3:$C$2600,3),Table!$D$2:$E$88,2,FALSE)</f>
        <v>Selling &amp; admin expenses</v>
      </c>
      <c r="C1276" s="455" t="str">
        <f t="shared" si="39"/>
        <v>5300801000</v>
      </c>
      <c r="D1276" s="455" t="e">
        <f>VLOOKUP(G1276,Table!$G$3:$H$21,2,FALSE)</f>
        <v>#N/A</v>
      </c>
      <c r="E1276" s="452" t="s">
        <v>902</v>
      </c>
      <c r="F1276" s="452" t="s">
        <v>1616</v>
      </c>
      <c r="G1276" s="452" t="s">
        <v>1516</v>
      </c>
      <c r="H1276" s="452" t="s">
        <v>994</v>
      </c>
      <c r="I1276" s="453" t="s">
        <v>844</v>
      </c>
      <c r="J1276" s="453">
        <v>186464.29</v>
      </c>
      <c r="K1276" s="461">
        <v>65115</v>
      </c>
      <c r="L1276" s="461">
        <v>63209.29</v>
      </c>
      <c r="M1276" s="461">
        <v>58140</v>
      </c>
      <c r="N1276" s="461">
        <v>0</v>
      </c>
      <c r="O1276" s="461">
        <v>0</v>
      </c>
      <c r="P1276" s="461">
        <v>0</v>
      </c>
      <c r="Q1276" s="461">
        <v>0</v>
      </c>
      <c r="R1276" s="461">
        <v>0</v>
      </c>
      <c r="S1276" s="461">
        <v>0</v>
      </c>
      <c r="T1276" s="461">
        <v>0</v>
      </c>
      <c r="U1276" s="461">
        <v>0</v>
      </c>
      <c r="V1276" s="461">
        <v>0</v>
      </c>
    </row>
    <row r="1277" spans="1:22" s="455" customFormat="1" hidden="1">
      <c r="A1277" s="455" t="str">
        <f t="shared" si="38"/>
        <v>19305300801400</v>
      </c>
      <c r="B1277" s="455" t="str">
        <f>VLOOKUP(LEFT($C$3:$C$2600,3),Table!$D$2:$E$88,2,FALSE)</f>
        <v>Selling &amp; admin expenses</v>
      </c>
      <c r="C1277" s="455" t="str">
        <f t="shared" si="39"/>
        <v>5300801400</v>
      </c>
      <c r="D1277" s="455" t="e">
        <f>VLOOKUP(G1277,Table!$G$3:$H$21,2,FALSE)</f>
        <v>#N/A</v>
      </c>
      <c r="E1277" s="452" t="s">
        <v>902</v>
      </c>
      <c r="F1277" s="452" t="s">
        <v>1616</v>
      </c>
      <c r="G1277" s="452" t="s">
        <v>1517</v>
      </c>
      <c r="H1277" s="452" t="s">
        <v>998</v>
      </c>
      <c r="I1277" s="453" t="s">
        <v>844</v>
      </c>
      <c r="J1277" s="453">
        <v>23965</v>
      </c>
      <c r="K1277" s="461">
        <v>8403</v>
      </c>
      <c r="L1277" s="461">
        <v>8145</v>
      </c>
      <c r="M1277" s="461">
        <v>7417</v>
      </c>
      <c r="N1277" s="461">
        <v>0</v>
      </c>
      <c r="O1277" s="461">
        <v>0</v>
      </c>
      <c r="P1277" s="461">
        <v>0</v>
      </c>
      <c r="Q1277" s="461">
        <v>0</v>
      </c>
      <c r="R1277" s="461">
        <v>0</v>
      </c>
      <c r="S1277" s="461">
        <v>0</v>
      </c>
      <c r="T1277" s="461">
        <v>0</v>
      </c>
      <c r="U1277" s="461">
        <v>0</v>
      </c>
      <c r="V1277" s="461">
        <v>0</v>
      </c>
    </row>
    <row r="1278" spans="1:22" s="455" customFormat="1" hidden="1">
      <c r="A1278" s="455" t="str">
        <f t="shared" si="38"/>
        <v>19305300801500</v>
      </c>
      <c r="B1278" s="455" t="str">
        <f>VLOOKUP(LEFT($C$3:$C$2600,3),Table!$D$2:$E$88,2,FALSE)</f>
        <v>Selling &amp; admin expenses</v>
      </c>
      <c r="C1278" s="455" t="str">
        <f t="shared" si="39"/>
        <v>5300801500</v>
      </c>
      <c r="D1278" s="455" t="e">
        <f>VLOOKUP(G1278,Table!$G$3:$H$21,2,FALSE)</f>
        <v>#N/A</v>
      </c>
      <c r="E1278" s="452" t="s">
        <v>902</v>
      </c>
      <c r="F1278" s="452" t="s">
        <v>1616</v>
      </c>
      <c r="G1278" s="452" t="s">
        <v>1518</v>
      </c>
      <c r="H1278" s="452" t="s">
        <v>1136</v>
      </c>
      <c r="I1278" s="453" t="s">
        <v>844</v>
      </c>
      <c r="J1278" s="453">
        <v>1067.55</v>
      </c>
      <c r="K1278" s="461">
        <v>398.45</v>
      </c>
      <c r="L1278" s="461">
        <v>373.95</v>
      </c>
      <c r="M1278" s="461">
        <v>295.14999999999998</v>
      </c>
      <c r="N1278" s="461">
        <v>0</v>
      </c>
      <c r="O1278" s="461">
        <v>0</v>
      </c>
      <c r="P1278" s="461">
        <v>0</v>
      </c>
      <c r="Q1278" s="461">
        <v>0</v>
      </c>
      <c r="R1278" s="461">
        <v>0</v>
      </c>
      <c r="S1278" s="461">
        <v>0</v>
      </c>
      <c r="T1278" s="461">
        <v>0</v>
      </c>
      <c r="U1278" s="461">
        <v>0</v>
      </c>
      <c r="V1278" s="461">
        <v>0</v>
      </c>
    </row>
    <row r="1279" spans="1:22" s="455" customFormat="1" hidden="1">
      <c r="A1279" s="455" t="str">
        <f t="shared" si="38"/>
        <v>19305300801600</v>
      </c>
      <c r="B1279" s="455" t="str">
        <f>VLOOKUP(LEFT($C$3:$C$2600,3),Table!$D$2:$E$88,2,FALSE)</f>
        <v>Selling &amp; admin expenses</v>
      </c>
      <c r="C1279" s="455" t="str">
        <f t="shared" si="39"/>
        <v>5300801600</v>
      </c>
      <c r="D1279" s="455" t="e">
        <f>VLOOKUP(G1279,Table!$G$3:$H$21,2,FALSE)</f>
        <v>#N/A</v>
      </c>
      <c r="E1279" s="452" t="s">
        <v>902</v>
      </c>
      <c r="F1279" s="452" t="s">
        <v>1616</v>
      </c>
      <c r="G1279" s="452" t="s">
        <v>1519</v>
      </c>
      <c r="H1279" s="452" t="s">
        <v>1002</v>
      </c>
      <c r="I1279" s="453" t="s">
        <v>844</v>
      </c>
      <c r="J1279" s="453">
        <v>49667</v>
      </c>
      <c r="K1279" s="461">
        <v>17611</v>
      </c>
      <c r="L1279" s="461">
        <v>16734</v>
      </c>
      <c r="M1279" s="461">
        <v>15322</v>
      </c>
      <c r="N1279" s="461">
        <v>0</v>
      </c>
      <c r="O1279" s="461">
        <v>0</v>
      </c>
      <c r="P1279" s="461">
        <v>0</v>
      </c>
      <c r="Q1279" s="461">
        <v>0</v>
      </c>
      <c r="R1279" s="461">
        <v>0</v>
      </c>
      <c r="S1279" s="461">
        <v>0</v>
      </c>
      <c r="T1279" s="461">
        <v>0</v>
      </c>
      <c r="U1279" s="461">
        <v>0</v>
      </c>
      <c r="V1279" s="461">
        <v>0</v>
      </c>
    </row>
    <row r="1280" spans="1:22" s="455" customFormat="1" hidden="1">
      <c r="A1280" s="455" t="str">
        <f t="shared" si="38"/>
        <v>19305300801900</v>
      </c>
      <c r="B1280" s="455" t="str">
        <f>VLOOKUP(LEFT($C$3:$C$2600,3),Table!$D$2:$E$88,2,FALSE)</f>
        <v>Selling &amp; admin expenses</v>
      </c>
      <c r="C1280" s="455" t="str">
        <f t="shared" si="39"/>
        <v>5300801900</v>
      </c>
      <c r="D1280" s="455" t="e">
        <f>VLOOKUP(G1280,Table!$G$3:$H$21,2,FALSE)</f>
        <v>#N/A</v>
      </c>
      <c r="E1280" s="452" t="s">
        <v>902</v>
      </c>
      <c r="F1280" s="452" t="s">
        <v>1616</v>
      </c>
      <c r="G1280" s="452" t="s">
        <v>1520</v>
      </c>
      <c r="H1280" s="452" t="s">
        <v>1007</v>
      </c>
      <c r="I1280" s="453" t="s">
        <v>844</v>
      </c>
      <c r="J1280" s="453">
        <v>1857</v>
      </c>
      <c r="K1280" s="461">
        <v>651.15</v>
      </c>
      <c r="L1280" s="461">
        <v>624.45000000000005</v>
      </c>
      <c r="M1280" s="461">
        <v>581.4</v>
      </c>
      <c r="N1280" s="461">
        <v>0</v>
      </c>
      <c r="O1280" s="461">
        <v>0</v>
      </c>
      <c r="P1280" s="461">
        <v>0</v>
      </c>
      <c r="Q1280" s="461">
        <v>0</v>
      </c>
      <c r="R1280" s="461">
        <v>0</v>
      </c>
      <c r="S1280" s="461">
        <v>0</v>
      </c>
      <c r="T1280" s="461">
        <v>0</v>
      </c>
      <c r="U1280" s="461">
        <v>0</v>
      </c>
      <c r="V1280" s="461">
        <v>0</v>
      </c>
    </row>
    <row r="1281" spans="1:22" s="455" customFormat="1" hidden="1">
      <c r="A1281" s="455" t="str">
        <f t="shared" si="38"/>
        <v>19305301201000</v>
      </c>
      <c r="B1281" s="455" t="str">
        <f>VLOOKUP(LEFT($C$3:$C$2600,3),Table!$D$2:$E$88,2,FALSE)</f>
        <v>Selling &amp; admin expenses</v>
      </c>
      <c r="C1281" s="455" t="str">
        <f t="shared" si="39"/>
        <v>5301201000</v>
      </c>
      <c r="D1281" s="455" t="e">
        <f>VLOOKUP(G1281,Table!$G$3:$H$21,2,FALSE)</f>
        <v>#N/A</v>
      </c>
      <c r="E1281" s="452" t="s">
        <v>902</v>
      </c>
      <c r="F1281" s="452" t="s">
        <v>1616</v>
      </c>
      <c r="G1281" s="452" t="s">
        <v>1617</v>
      </c>
      <c r="H1281" s="452" t="s">
        <v>1618</v>
      </c>
      <c r="I1281" s="453" t="s">
        <v>844</v>
      </c>
      <c r="J1281" s="453">
        <v>33183</v>
      </c>
      <c r="K1281" s="461">
        <v>10514</v>
      </c>
      <c r="L1281" s="461">
        <v>11185</v>
      </c>
      <c r="M1281" s="461">
        <v>11484</v>
      </c>
      <c r="N1281" s="461">
        <v>0</v>
      </c>
      <c r="O1281" s="461">
        <v>0</v>
      </c>
      <c r="P1281" s="461">
        <v>0</v>
      </c>
      <c r="Q1281" s="461">
        <v>0</v>
      </c>
      <c r="R1281" s="461">
        <v>0</v>
      </c>
      <c r="S1281" s="461">
        <v>0</v>
      </c>
      <c r="T1281" s="461">
        <v>0</v>
      </c>
      <c r="U1281" s="461">
        <v>0</v>
      </c>
      <c r="V1281" s="461">
        <v>0</v>
      </c>
    </row>
    <row r="1282" spans="1:22" s="455" customFormat="1" hidden="1">
      <c r="A1282" s="455" t="str">
        <f t="shared" si="38"/>
        <v>19305301201300</v>
      </c>
      <c r="B1282" s="455" t="str">
        <f>VLOOKUP(LEFT($C$3:$C$2600,3),Table!$D$2:$E$88,2,FALSE)</f>
        <v>Selling &amp; admin expenses</v>
      </c>
      <c r="C1282" s="455" t="str">
        <f t="shared" si="39"/>
        <v>5301201300</v>
      </c>
      <c r="D1282" s="455" t="e">
        <f>VLOOKUP(G1282,Table!$G$3:$H$21,2,FALSE)</f>
        <v>#N/A</v>
      </c>
      <c r="E1282" s="452" t="s">
        <v>902</v>
      </c>
      <c r="F1282" s="452" t="s">
        <v>1616</v>
      </c>
      <c r="G1282" s="452" t="s">
        <v>1619</v>
      </c>
      <c r="H1282" s="452" t="s">
        <v>1620</v>
      </c>
      <c r="I1282" s="453" t="s">
        <v>844</v>
      </c>
      <c r="J1282" s="453">
        <v>23154.720000000001</v>
      </c>
      <c r="K1282" s="461">
        <v>7419.33</v>
      </c>
      <c r="L1282" s="461">
        <v>8833.9599999999991</v>
      </c>
      <c r="M1282" s="461">
        <v>6901.43</v>
      </c>
      <c r="N1282" s="461">
        <v>0</v>
      </c>
      <c r="O1282" s="461">
        <v>0</v>
      </c>
      <c r="P1282" s="461">
        <v>0</v>
      </c>
      <c r="Q1282" s="461">
        <v>0</v>
      </c>
      <c r="R1282" s="461">
        <v>0</v>
      </c>
      <c r="S1282" s="461">
        <v>0</v>
      </c>
      <c r="T1282" s="461">
        <v>0</v>
      </c>
      <c r="U1282" s="461">
        <v>0</v>
      </c>
      <c r="V1282" s="461">
        <v>0</v>
      </c>
    </row>
    <row r="1283" spans="1:22" s="455" customFormat="1" hidden="1">
      <c r="A1283" s="455" t="str">
        <f t="shared" si="38"/>
        <v>19305301501000</v>
      </c>
      <c r="B1283" s="455" t="str">
        <f>VLOOKUP(LEFT($C$3:$C$2600,3),Table!$D$2:$E$88,2,FALSE)</f>
        <v>Selling &amp; admin expenses</v>
      </c>
      <c r="C1283" s="455" t="str">
        <f t="shared" si="39"/>
        <v>5301501000</v>
      </c>
      <c r="D1283" s="455" t="e">
        <f>VLOOKUP(G1283,Table!$G$3:$H$21,2,FALSE)</f>
        <v>#N/A</v>
      </c>
      <c r="E1283" s="452" t="s">
        <v>902</v>
      </c>
      <c r="F1283" s="452" t="s">
        <v>1616</v>
      </c>
      <c r="G1283" s="452" t="s">
        <v>1621</v>
      </c>
      <c r="H1283" s="452" t="s">
        <v>1622</v>
      </c>
      <c r="I1283" s="453" t="s">
        <v>844</v>
      </c>
      <c r="J1283" s="453">
        <v>669</v>
      </c>
      <c r="K1283" s="461">
        <v>0</v>
      </c>
      <c r="L1283" s="461">
        <v>669</v>
      </c>
      <c r="M1283" s="461">
        <v>0</v>
      </c>
      <c r="N1283" s="461">
        <v>0</v>
      </c>
      <c r="O1283" s="461">
        <v>0</v>
      </c>
      <c r="P1283" s="461">
        <v>0</v>
      </c>
      <c r="Q1283" s="461">
        <v>0</v>
      </c>
      <c r="R1283" s="461">
        <v>0</v>
      </c>
      <c r="S1283" s="461">
        <v>0</v>
      </c>
      <c r="T1283" s="461">
        <v>0</v>
      </c>
      <c r="U1283" s="461">
        <v>0</v>
      </c>
      <c r="V1283" s="461">
        <v>0</v>
      </c>
    </row>
    <row r="1284" spans="1:22" s="455" customFormat="1" hidden="1">
      <c r="A1284" s="455" t="str">
        <f t="shared" ref="A1284:A1347" si="40">F1284&amp;G1284</f>
        <v>19305301501100</v>
      </c>
      <c r="B1284" s="455" t="str">
        <f>VLOOKUP(LEFT($C$3:$C$2600,3),Table!$D$2:$E$88,2,FALSE)</f>
        <v>Selling &amp; admin expenses</v>
      </c>
      <c r="C1284" s="455" t="str">
        <f t="shared" ref="C1284:C1347" si="41">IF(ISNA(D1284),G1284,D1284)</f>
        <v>5301501100</v>
      </c>
      <c r="D1284" s="455" t="e">
        <f>VLOOKUP(G1284,Table!$G$3:$H$21,2,FALSE)</f>
        <v>#N/A</v>
      </c>
      <c r="E1284" s="452" t="s">
        <v>902</v>
      </c>
      <c r="F1284" s="452" t="s">
        <v>1616</v>
      </c>
      <c r="G1284" s="452" t="s">
        <v>1521</v>
      </c>
      <c r="H1284" s="452" t="s">
        <v>1010</v>
      </c>
      <c r="I1284" s="453" t="s">
        <v>844</v>
      </c>
      <c r="J1284" s="453">
        <v>4053.9</v>
      </c>
      <c r="K1284" s="461">
        <v>1199.8499999999999</v>
      </c>
      <c r="L1284" s="461">
        <v>1979.85</v>
      </c>
      <c r="M1284" s="461">
        <v>2097.75</v>
      </c>
      <c r="N1284" s="461">
        <v>0</v>
      </c>
      <c r="O1284" s="461">
        <v>0</v>
      </c>
      <c r="P1284" s="461">
        <v>0</v>
      </c>
      <c r="Q1284" s="461">
        <v>0</v>
      </c>
      <c r="R1284" s="461">
        <v>0</v>
      </c>
      <c r="S1284" s="461">
        <v>0</v>
      </c>
      <c r="T1284" s="461">
        <v>0</v>
      </c>
      <c r="U1284" s="461">
        <v>0</v>
      </c>
      <c r="V1284" s="461">
        <v>0</v>
      </c>
    </row>
    <row r="1285" spans="1:22" s="455" customFormat="1" hidden="1">
      <c r="A1285" s="455" t="str">
        <f t="shared" si="40"/>
        <v>19305301501200</v>
      </c>
      <c r="B1285" s="455" t="str">
        <f>VLOOKUP(LEFT($C$3:$C$2600,3),Table!$D$2:$E$88,2,FALSE)</f>
        <v>Selling &amp; admin expenses</v>
      </c>
      <c r="C1285" s="455" t="str">
        <f t="shared" si="41"/>
        <v>5301501200</v>
      </c>
      <c r="D1285" s="455" t="e">
        <f>VLOOKUP(G1285,Table!$G$3:$H$21,2,FALSE)</f>
        <v>#N/A</v>
      </c>
      <c r="E1285" s="452" t="s">
        <v>902</v>
      </c>
      <c r="F1285" s="452" t="s">
        <v>1616</v>
      </c>
      <c r="G1285" s="452" t="s">
        <v>2286</v>
      </c>
      <c r="H1285" s="452" t="s">
        <v>2507</v>
      </c>
      <c r="I1285" s="453" t="s">
        <v>844</v>
      </c>
      <c r="J1285" s="453">
        <v>1500</v>
      </c>
      <c r="K1285" s="461">
        <v>0</v>
      </c>
      <c r="L1285" s="461">
        <v>1300</v>
      </c>
      <c r="M1285" s="461">
        <v>200</v>
      </c>
      <c r="N1285" s="461">
        <v>0</v>
      </c>
      <c r="O1285" s="461">
        <v>0</v>
      </c>
      <c r="P1285" s="461">
        <v>0</v>
      </c>
      <c r="Q1285" s="461">
        <v>0</v>
      </c>
      <c r="R1285" s="461">
        <v>0</v>
      </c>
      <c r="S1285" s="461">
        <v>0</v>
      </c>
      <c r="T1285" s="461">
        <v>0</v>
      </c>
      <c r="U1285" s="461">
        <v>0</v>
      </c>
      <c r="V1285" s="461">
        <v>0</v>
      </c>
    </row>
    <row r="1286" spans="1:22" s="455" customFormat="1" hidden="1">
      <c r="A1286" s="455" t="str">
        <f t="shared" si="40"/>
        <v>19305301501326</v>
      </c>
      <c r="B1286" s="455" t="str">
        <f>VLOOKUP(LEFT($C$3:$C$2600,3),Table!$D$2:$E$88,2,FALSE)</f>
        <v>Selling &amp; admin expenses</v>
      </c>
      <c r="C1286" s="455" t="str">
        <f t="shared" si="41"/>
        <v>5301501326</v>
      </c>
      <c r="D1286" s="455" t="e">
        <f>VLOOKUP(G1286,Table!$G$3:$H$21,2,FALSE)</f>
        <v>#N/A</v>
      </c>
      <c r="E1286" s="452" t="s">
        <v>902</v>
      </c>
      <c r="F1286" s="452" t="s">
        <v>1616</v>
      </c>
      <c r="G1286" s="452" t="s">
        <v>1623</v>
      </c>
      <c r="H1286" s="452" t="s">
        <v>1624</v>
      </c>
      <c r="I1286" s="453" t="s">
        <v>844</v>
      </c>
      <c r="J1286" s="453">
        <v>562.94000000000005</v>
      </c>
      <c r="K1286" s="461">
        <v>562.94000000000005</v>
      </c>
      <c r="L1286" s="461">
        <v>502.7</v>
      </c>
      <c r="M1286" s="461">
        <v>585.88</v>
      </c>
      <c r="N1286" s="461">
        <v>0</v>
      </c>
      <c r="O1286" s="461">
        <v>0</v>
      </c>
      <c r="P1286" s="461">
        <v>0</v>
      </c>
      <c r="Q1286" s="461">
        <v>0</v>
      </c>
      <c r="R1286" s="461">
        <v>0</v>
      </c>
      <c r="S1286" s="461">
        <v>0</v>
      </c>
      <c r="T1286" s="461">
        <v>0</v>
      </c>
      <c r="U1286" s="461">
        <v>0</v>
      </c>
      <c r="V1286" s="461">
        <v>0</v>
      </c>
    </row>
    <row r="1287" spans="1:22" s="455" customFormat="1" hidden="1">
      <c r="A1287" s="455" t="str">
        <f t="shared" si="40"/>
        <v>19305301501327</v>
      </c>
      <c r="B1287" s="455" t="str">
        <f>VLOOKUP(LEFT($C$3:$C$2600,3),Table!$D$2:$E$88,2,FALSE)</f>
        <v>Selling &amp; admin expenses</v>
      </c>
      <c r="C1287" s="455" t="str">
        <f t="shared" si="41"/>
        <v>5301501327</v>
      </c>
      <c r="D1287" s="455" t="e">
        <f>VLOOKUP(G1287,Table!$G$3:$H$21,2,FALSE)</f>
        <v>#N/A</v>
      </c>
      <c r="E1287" s="452" t="s">
        <v>902</v>
      </c>
      <c r="F1287" s="452" t="s">
        <v>1616</v>
      </c>
      <c r="G1287" s="452" t="s">
        <v>1625</v>
      </c>
      <c r="H1287" s="452" t="s">
        <v>1402</v>
      </c>
      <c r="I1287" s="453" t="s">
        <v>844</v>
      </c>
      <c r="J1287" s="453">
        <v>674.33</v>
      </c>
      <c r="K1287" s="461">
        <v>674.33</v>
      </c>
      <c r="L1287" s="461">
        <v>607.41</v>
      </c>
      <c r="M1287" s="461">
        <v>558.20000000000005</v>
      </c>
      <c r="N1287" s="461">
        <v>0</v>
      </c>
      <c r="O1287" s="461">
        <v>0</v>
      </c>
      <c r="P1287" s="461">
        <v>0</v>
      </c>
      <c r="Q1287" s="461">
        <v>0</v>
      </c>
      <c r="R1287" s="461">
        <v>0</v>
      </c>
      <c r="S1287" s="461">
        <v>0</v>
      </c>
      <c r="T1287" s="461">
        <v>0</v>
      </c>
      <c r="U1287" s="461">
        <v>0</v>
      </c>
      <c r="V1287" s="461">
        <v>0</v>
      </c>
    </row>
    <row r="1288" spans="1:22" s="455" customFormat="1" hidden="1">
      <c r="A1288" s="455" t="str">
        <f t="shared" si="40"/>
        <v>19305301501400</v>
      </c>
      <c r="B1288" s="455" t="str">
        <f>VLOOKUP(LEFT($C$3:$C$2600,3),Table!$D$2:$E$88,2,FALSE)</f>
        <v>Selling &amp; admin expenses</v>
      </c>
      <c r="C1288" s="455" t="str">
        <f t="shared" si="41"/>
        <v>5301501400</v>
      </c>
      <c r="D1288" s="455" t="e">
        <f>VLOOKUP(G1288,Table!$G$3:$H$21,2,FALSE)</f>
        <v>#N/A</v>
      </c>
      <c r="E1288" s="452" t="s">
        <v>902</v>
      </c>
      <c r="F1288" s="452" t="s">
        <v>1616</v>
      </c>
      <c r="G1288" s="452" t="s">
        <v>1522</v>
      </c>
      <c r="H1288" s="452" t="s">
        <v>1523</v>
      </c>
      <c r="I1288" s="453" t="s">
        <v>844</v>
      </c>
      <c r="J1288" s="453">
        <v>1885.5</v>
      </c>
      <c r="K1288" s="461">
        <v>638.04999999999995</v>
      </c>
      <c r="L1288" s="461">
        <v>510.2</v>
      </c>
      <c r="M1288" s="461">
        <v>1221.55</v>
      </c>
      <c r="N1288" s="461">
        <v>0</v>
      </c>
      <c r="O1288" s="461">
        <v>0</v>
      </c>
      <c r="P1288" s="461">
        <v>0</v>
      </c>
      <c r="Q1288" s="461">
        <v>0</v>
      </c>
      <c r="R1288" s="461">
        <v>0</v>
      </c>
      <c r="S1288" s="461">
        <v>0</v>
      </c>
      <c r="T1288" s="461">
        <v>0</v>
      </c>
      <c r="U1288" s="461">
        <v>0</v>
      </c>
      <c r="V1288" s="461">
        <v>0</v>
      </c>
    </row>
    <row r="1289" spans="1:22" s="455" customFormat="1" hidden="1">
      <c r="A1289" s="455" t="str">
        <f t="shared" si="40"/>
        <v>19305301502000</v>
      </c>
      <c r="B1289" s="455" t="str">
        <f>VLOOKUP(LEFT($C$3:$C$2600,3),Table!$D$2:$E$88,2,FALSE)</f>
        <v>Selling &amp; admin expenses</v>
      </c>
      <c r="C1289" s="455" t="str">
        <f t="shared" si="41"/>
        <v>5301502000</v>
      </c>
      <c r="D1289" s="455" t="e">
        <f>VLOOKUP(G1289,Table!$G$3:$H$21,2,FALSE)</f>
        <v>#N/A</v>
      </c>
      <c r="E1289" s="452" t="s">
        <v>902</v>
      </c>
      <c r="F1289" s="452" t="s">
        <v>1616</v>
      </c>
      <c r="G1289" s="452" t="s">
        <v>1544</v>
      </c>
      <c r="H1289" s="452" t="s">
        <v>1545</v>
      </c>
      <c r="I1289" s="453" t="s">
        <v>844</v>
      </c>
      <c r="J1289" s="453">
        <v>2753</v>
      </c>
      <c r="K1289" s="461">
        <v>753</v>
      </c>
      <c r="L1289" s="461">
        <v>2000</v>
      </c>
      <c r="M1289" s="461">
        <v>1587</v>
      </c>
      <c r="N1289" s="461">
        <v>0</v>
      </c>
      <c r="O1289" s="461">
        <v>0</v>
      </c>
      <c r="P1289" s="461">
        <v>0</v>
      </c>
      <c r="Q1289" s="461">
        <v>0</v>
      </c>
      <c r="R1289" s="461">
        <v>0</v>
      </c>
      <c r="S1289" s="461">
        <v>0</v>
      </c>
      <c r="T1289" s="461">
        <v>0</v>
      </c>
      <c r="U1289" s="461">
        <v>0</v>
      </c>
      <c r="V1289" s="461">
        <v>0</v>
      </c>
    </row>
    <row r="1290" spans="1:22" s="455" customFormat="1" hidden="1">
      <c r="A1290" s="455" t="str">
        <f t="shared" si="40"/>
        <v>19305301502200</v>
      </c>
      <c r="B1290" s="455" t="str">
        <f>VLOOKUP(LEFT($C$3:$C$2600,3),Table!$D$2:$E$88,2,FALSE)</f>
        <v>Selling &amp; admin expenses</v>
      </c>
      <c r="C1290" s="455" t="str">
        <f t="shared" si="41"/>
        <v>5301502200</v>
      </c>
      <c r="D1290" s="455" t="e">
        <f>VLOOKUP(G1290,Table!$G$3:$H$21,2,FALSE)</f>
        <v>#N/A</v>
      </c>
      <c r="E1290" s="452" t="s">
        <v>902</v>
      </c>
      <c r="F1290" s="452" t="s">
        <v>1616</v>
      </c>
      <c r="G1290" s="452" t="s">
        <v>1546</v>
      </c>
      <c r="H1290" s="452" t="s">
        <v>1547</v>
      </c>
      <c r="I1290" s="453" t="s">
        <v>844</v>
      </c>
      <c r="J1290" s="453">
        <v>332.13</v>
      </c>
      <c r="K1290" s="461">
        <v>192.53</v>
      </c>
      <c r="L1290" s="461">
        <v>117.3</v>
      </c>
      <c r="M1290" s="461">
        <v>180.82</v>
      </c>
      <c r="N1290" s="461">
        <v>0</v>
      </c>
      <c r="O1290" s="461">
        <v>0</v>
      </c>
      <c r="P1290" s="461">
        <v>0</v>
      </c>
      <c r="Q1290" s="461">
        <v>0</v>
      </c>
      <c r="R1290" s="461">
        <v>0</v>
      </c>
      <c r="S1290" s="461">
        <v>0</v>
      </c>
      <c r="T1290" s="461">
        <v>0</v>
      </c>
      <c r="U1290" s="461">
        <v>0</v>
      </c>
      <c r="V1290" s="461">
        <v>0</v>
      </c>
    </row>
    <row r="1291" spans="1:22" s="455" customFormat="1" hidden="1">
      <c r="A1291" s="455" t="str">
        <f t="shared" si="40"/>
        <v>19305301601000</v>
      </c>
      <c r="B1291" s="455" t="str">
        <f>VLOOKUP(LEFT($C$3:$C$2600,3),Table!$D$2:$E$88,2,FALSE)</f>
        <v>Selling &amp; admin expenses</v>
      </c>
      <c r="C1291" s="455" t="str">
        <f t="shared" si="41"/>
        <v>5301601000</v>
      </c>
      <c r="D1291" s="455" t="e">
        <f>VLOOKUP(G1291,Table!$G$3:$H$21,2,FALSE)</f>
        <v>#N/A</v>
      </c>
      <c r="E1291" s="452" t="s">
        <v>902</v>
      </c>
      <c r="F1291" s="452" t="s">
        <v>1616</v>
      </c>
      <c r="G1291" s="452" t="s">
        <v>1524</v>
      </c>
      <c r="H1291" s="452" t="s">
        <v>1014</v>
      </c>
      <c r="I1291" s="453" t="s">
        <v>844</v>
      </c>
      <c r="J1291" s="453">
        <v>9537.9</v>
      </c>
      <c r="K1291" s="461">
        <v>265.55</v>
      </c>
      <c r="L1291" s="461">
        <v>2132.35</v>
      </c>
      <c r="M1291" s="461">
        <v>7193.2</v>
      </c>
      <c r="N1291" s="461">
        <v>0</v>
      </c>
      <c r="O1291" s="461">
        <v>0</v>
      </c>
      <c r="P1291" s="461">
        <v>0</v>
      </c>
      <c r="Q1291" s="461">
        <v>0</v>
      </c>
      <c r="R1291" s="461">
        <v>0</v>
      </c>
      <c r="S1291" s="461">
        <v>0</v>
      </c>
      <c r="T1291" s="461">
        <v>0</v>
      </c>
      <c r="U1291" s="461">
        <v>0</v>
      </c>
      <c r="V1291" s="461">
        <v>0</v>
      </c>
    </row>
    <row r="1292" spans="1:22" s="455" customFormat="1" hidden="1">
      <c r="A1292" s="455" t="str">
        <f t="shared" si="40"/>
        <v>19305301601001</v>
      </c>
      <c r="B1292" s="455" t="str">
        <f>VLOOKUP(LEFT($C$3:$C$2600,3),Table!$D$2:$E$88,2,FALSE)</f>
        <v>Selling &amp; admin expenses</v>
      </c>
      <c r="C1292" s="455" t="str">
        <f t="shared" si="41"/>
        <v>5301601001</v>
      </c>
      <c r="D1292" s="455" t="e">
        <f>VLOOKUP(G1292,Table!$G$3:$H$21,2,FALSE)</f>
        <v>#N/A</v>
      </c>
      <c r="E1292" s="452" t="s">
        <v>902</v>
      </c>
      <c r="F1292" s="452" t="s">
        <v>1616</v>
      </c>
      <c r="G1292" s="452" t="s">
        <v>1525</v>
      </c>
      <c r="H1292" s="452" t="s">
        <v>1016</v>
      </c>
      <c r="I1292" s="453" t="s">
        <v>844</v>
      </c>
      <c r="J1292" s="453">
        <v>721</v>
      </c>
      <c r="K1292" s="461">
        <v>370</v>
      </c>
      <c r="L1292" s="461">
        <v>179</v>
      </c>
      <c r="M1292" s="461">
        <v>371</v>
      </c>
      <c r="N1292" s="461">
        <v>0</v>
      </c>
      <c r="O1292" s="461">
        <v>0</v>
      </c>
      <c r="P1292" s="461">
        <v>0</v>
      </c>
      <c r="Q1292" s="461">
        <v>0</v>
      </c>
      <c r="R1292" s="461">
        <v>0</v>
      </c>
      <c r="S1292" s="461">
        <v>0</v>
      </c>
      <c r="T1292" s="461">
        <v>0</v>
      </c>
      <c r="U1292" s="461">
        <v>0</v>
      </c>
      <c r="V1292" s="461">
        <v>0</v>
      </c>
    </row>
    <row r="1293" spans="1:22" s="455" customFormat="1" hidden="1">
      <c r="A1293" s="455" t="str">
        <f t="shared" si="40"/>
        <v>19305301601100</v>
      </c>
      <c r="B1293" s="455" t="str">
        <f>VLOOKUP(LEFT($C$3:$C$2600,3),Table!$D$2:$E$88,2,FALSE)</f>
        <v>Selling &amp; admin expenses</v>
      </c>
      <c r="C1293" s="455" t="str">
        <f t="shared" si="41"/>
        <v>5301601100</v>
      </c>
      <c r="D1293" s="455" t="e">
        <f>VLOOKUP(G1293,Table!$G$3:$H$21,2,FALSE)</f>
        <v>#N/A</v>
      </c>
      <c r="E1293" s="452" t="s">
        <v>902</v>
      </c>
      <c r="F1293" s="452" t="s">
        <v>1616</v>
      </c>
      <c r="G1293" s="452" t="s">
        <v>1579</v>
      </c>
      <c r="H1293" s="452" t="s">
        <v>1580</v>
      </c>
      <c r="I1293" s="453" t="s">
        <v>844</v>
      </c>
      <c r="J1293" s="453">
        <v>1894.85</v>
      </c>
      <c r="K1293" s="461">
        <v>785.25</v>
      </c>
      <c r="L1293" s="461">
        <v>857.35</v>
      </c>
      <c r="M1293" s="461">
        <v>680.25</v>
      </c>
      <c r="N1293" s="461">
        <v>0</v>
      </c>
      <c r="O1293" s="461">
        <v>0</v>
      </c>
      <c r="P1293" s="461">
        <v>0</v>
      </c>
      <c r="Q1293" s="461">
        <v>0</v>
      </c>
      <c r="R1293" s="461">
        <v>0</v>
      </c>
      <c r="S1293" s="461">
        <v>0</v>
      </c>
      <c r="T1293" s="461">
        <v>0</v>
      </c>
      <c r="U1293" s="461">
        <v>0</v>
      </c>
      <c r="V1293" s="461">
        <v>0</v>
      </c>
    </row>
    <row r="1294" spans="1:22" s="455" customFormat="1" hidden="1">
      <c r="A1294" s="455" t="str">
        <f t="shared" si="40"/>
        <v>19305301602000</v>
      </c>
      <c r="B1294" s="455" t="str">
        <f>VLOOKUP(LEFT($C$3:$C$2600,3),Table!$D$2:$E$88,2,FALSE)</f>
        <v>Selling &amp; admin expenses</v>
      </c>
      <c r="C1294" s="455" t="str">
        <f t="shared" si="41"/>
        <v>5301602000</v>
      </c>
      <c r="D1294" s="455" t="e">
        <f>VLOOKUP(G1294,Table!$G$3:$H$21,2,FALSE)</f>
        <v>#N/A</v>
      </c>
      <c r="E1294" s="452" t="s">
        <v>902</v>
      </c>
      <c r="F1294" s="452" t="s">
        <v>1616</v>
      </c>
      <c r="G1294" s="452" t="s">
        <v>1611</v>
      </c>
      <c r="H1294" s="452" t="s">
        <v>1612</v>
      </c>
      <c r="I1294" s="453" t="s">
        <v>844</v>
      </c>
      <c r="J1294" s="453">
        <v>118.83</v>
      </c>
      <c r="K1294" s="461">
        <v>0</v>
      </c>
      <c r="L1294" s="461">
        <v>118.83</v>
      </c>
      <c r="M1294" s="461">
        <v>0</v>
      </c>
      <c r="N1294" s="461">
        <v>0</v>
      </c>
      <c r="O1294" s="461">
        <v>0</v>
      </c>
      <c r="P1294" s="461">
        <v>0</v>
      </c>
      <c r="Q1294" s="461">
        <v>0</v>
      </c>
      <c r="R1294" s="461">
        <v>0</v>
      </c>
      <c r="S1294" s="461">
        <v>0</v>
      </c>
      <c r="T1294" s="461">
        <v>0</v>
      </c>
      <c r="U1294" s="461">
        <v>0</v>
      </c>
      <c r="V1294" s="461">
        <v>0</v>
      </c>
    </row>
    <row r="1295" spans="1:22" s="455" customFormat="1" hidden="1">
      <c r="A1295" s="455" t="str">
        <f t="shared" si="40"/>
        <v>19305301602001</v>
      </c>
      <c r="B1295" s="455" t="str">
        <f>VLOOKUP(LEFT($C$3:$C$2600,3),Table!$D$2:$E$88,2,FALSE)</f>
        <v>Selling &amp; admin expenses</v>
      </c>
      <c r="C1295" s="455" t="str">
        <f t="shared" si="41"/>
        <v>5301602001</v>
      </c>
      <c r="D1295" s="455" t="e">
        <f>VLOOKUP(G1295,Table!$G$3:$H$21,2,FALSE)</f>
        <v>#N/A</v>
      </c>
      <c r="E1295" s="452" t="s">
        <v>902</v>
      </c>
      <c r="F1295" s="452" t="s">
        <v>1616</v>
      </c>
      <c r="G1295" s="452" t="s">
        <v>2568</v>
      </c>
      <c r="H1295" s="452" t="s">
        <v>2534</v>
      </c>
      <c r="I1295" s="453" t="s">
        <v>844</v>
      </c>
      <c r="J1295" s="453">
        <v>76.73</v>
      </c>
      <c r="K1295" s="461">
        <v>7.59</v>
      </c>
      <c r="L1295" s="461">
        <v>0</v>
      </c>
      <c r="M1295" s="461">
        <v>650.34</v>
      </c>
      <c r="N1295" s="461">
        <v>0</v>
      </c>
      <c r="O1295" s="461">
        <v>0</v>
      </c>
      <c r="P1295" s="461">
        <v>0</v>
      </c>
      <c r="Q1295" s="461">
        <v>0</v>
      </c>
      <c r="R1295" s="461">
        <v>0</v>
      </c>
      <c r="S1295" s="461">
        <v>0</v>
      </c>
      <c r="T1295" s="461">
        <v>0</v>
      </c>
      <c r="U1295" s="461">
        <v>0</v>
      </c>
      <c r="V1295" s="461">
        <v>0</v>
      </c>
    </row>
    <row r="1296" spans="1:22" s="455" customFormat="1" hidden="1">
      <c r="A1296" s="455" t="str">
        <f t="shared" si="40"/>
        <v>19305301602100</v>
      </c>
      <c r="B1296" s="455" t="str">
        <f>VLOOKUP(LEFT($C$3:$C$2600,3),Table!$D$2:$E$88,2,FALSE)</f>
        <v>Selling &amp; admin expenses</v>
      </c>
      <c r="C1296" s="455" t="str">
        <f t="shared" si="41"/>
        <v>5301602100</v>
      </c>
      <c r="D1296" s="455" t="e">
        <f>VLOOKUP(G1296,Table!$G$3:$H$21,2,FALSE)</f>
        <v>#N/A</v>
      </c>
      <c r="E1296" s="452" t="s">
        <v>902</v>
      </c>
      <c r="F1296" s="452" t="s">
        <v>1616</v>
      </c>
      <c r="G1296" s="452" t="s">
        <v>1581</v>
      </c>
      <c r="H1296" s="452" t="s">
        <v>1582</v>
      </c>
      <c r="I1296" s="453" t="s">
        <v>844</v>
      </c>
      <c r="J1296" s="453">
        <v>1402.76</v>
      </c>
      <c r="K1296" s="461">
        <v>634.16</v>
      </c>
      <c r="L1296" s="461">
        <v>768.6</v>
      </c>
      <c r="M1296" s="461">
        <v>0</v>
      </c>
      <c r="N1296" s="461">
        <v>0</v>
      </c>
      <c r="O1296" s="461">
        <v>0</v>
      </c>
      <c r="P1296" s="461">
        <v>0</v>
      </c>
      <c r="Q1296" s="461">
        <v>0</v>
      </c>
      <c r="R1296" s="461">
        <v>0</v>
      </c>
      <c r="S1296" s="461">
        <v>0</v>
      </c>
      <c r="T1296" s="461">
        <v>0</v>
      </c>
      <c r="U1296" s="461">
        <v>0</v>
      </c>
      <c r="V1296" s="461">
        <v>0</v>
      </c>
    </row>
    <row r="1297" spans="1:22" s="455" customFormat="1" hidden="1">
      <c r="A1297" s="455" t="str">
        <f t="shared" si="40"/>
        <v>19305301701010</v>
      </c>
      <c r="B1297" s="455" t="str">
        <f>VLOOKUP(LEFT($C$3:$C$2600,3),Table!$D$2:$E$88,2,FALSE)</f>
        <v>Selling &amp; admin expenses</v>
      </c>
      <c r="C1297" s="455" t="str">
        <f t="shared" si="41"/>
        <v>5301701010</v>
      </c>
      <c r="D1297" s="455" t="e">
        <f>VLOOKUP(G1297,Table!$G$3:$H$21,2,FALSE)</f>
        <v>#N/A</v>
      </c>
      <c r="E1297" s="452" t="s">
        <v>902</v>
      </c>
      <c r="F1297" s="452" t="s">
        <v>1616</v>
      </c>
      <c r="G1297" s="452" t="s">
        <v>1550</v>
      </c>
      <c r="H1297" s="452" t="s">
        <v>1551</v>
      </c>
      <c r="I1297" s="453" t="s">
        <v>844</v>
      </c>
      <c r="J1297" s="453">
        <v>1743.05</v>
      </c>
      <c r="K1297" s="461">
        <v>722.56</v>
      </c>
      <c r="L1297" s="461">
        <v>900.27</v>
      </c>
      <c r="M1297" s="461">
        <v>1739.58</v>
      </c>
      <c r="N1297" s="461">
        <v>0</v>
      </c>
      <c r="O1297" s="461">
        <v>0</v>
      </c>
      <c r="P1297" s="461">
        <v>0</v>
      </c>
      <c r="Q1297" s="461">
        <v>0</v>
      </c>
      <c r="R1297" s="461">
        <v>0</v>
      </c>
      <c r="S1297" s="461">
        <v>0</v>
      </c>
      <c r="T1297" s="461">
        <v>0</v>
      </c>
      <c r="U1297" s="461">
        <v>0</v>
      </c>
      <c r="V1297" s="461">
        <v>0</v>
      </c>
    </row>
    <row r="1298" spans="1:22" s="455" customFormat="1" hidden="1">
      <c r="A1298" s="455" t="str">
        <f t="shared" si="40"/>
        <v>19305301701200</v>
      </c>
      <c r="B1298" s="455" t="str">
        <f>VLOOKUP(LEFT($C$3:$C$2600,3),Table!$D$2:$E$88,2,FALSE)</f>
        <v>Selling &amp; admin expenses</v>
      </c>
      <c r="C1298" s="455" t="str">
        <f t="shared" si="41"/>
        <v>5301701200</v>
      </c>
      <c r="D1298" s="455" t="e">
        <f>VLOOKUP(G1298,Table!$G$3:$H$21,2,FALSE)</f>
        <v>#N/A</v>
      </c>
      <c r="E1298" s="452" t="s">
        <v>902</v>
      </c>
      <c r="F1298" s="452" t="s">
        <v>1616</v>
      </c>
      <c r="G1298" s="452" t="s">
        <v>1583</v>
      </c>
      <c r="H1298" s="452" t="s">
        <v>1584</v>
      </c>
      <c r="I1298" s="453" t="s">
        <v>844</v>
      </c>
      <c r="J1298" s="453">
        <v>287.85000000000002</v>
      </c>
      <c r="K1298" s="461">
        <v>92.2</v>
      </c>
      <c r="L1298" s="461">
        <v>101.55</v>
      </c>
      <c r="M1298" s="461">
        <v>94.1</v>
      </c>
      <c r="N1298" s="461">
        <v>0</v>
      </c>
      <c r="O1298" s="461">
        <v>0</v>
      </c>
      <c r="P1298" s="461">
        <v>0</v>
      </c>
      <c r="Q1298" s="461">
        <v>0</v>
      </c>
      <c r="R1298" s="461">
        <v>0</v>
      </c>
      <c r="S1298" s="461">
        <v>0</v>
      </c>
      <c r="T1298" s="461">
        <v>0</v>
      </c>
      <c r="U1298" s="461">
        <v>0</v>
      </c>
      <c r="V1298" s="461">
        <v>0</v>
      </c>
    </row>
    <row r="1299" spans="1:22" s="455" customFormat="1" hidden="1">
      <c r="A1299" s="455" t="str">
        <f t="shared" si="40"/>
        <v>19305301801100</v>
      </c>
      <c r="B1299" s="455" t="str">
        <f>VLOOKUP(LEFT($C$3:$C$2600,3),Table!$D$2:$E$88,2,FALSE)</f>
        <v>Selling &amp; admin expenses</v>
      </c>
      <c r="C1299" s="455" t="str">
        <f t="shared" si="41"/>
        <v>5301801100</v>
      </c>
      <c r="D1299" s="455" t="e">
        <f>VLOOKUP(G1299,Table!$G$3:$H$21,2,FALSE)</f>
        <v>#N/A</v>
      </c>
      <c r="E1299" s="452" t="s">
        <v>902</v>
      </c>
      <c r="F1299" s="452" t="s">
        <v>1616</v>
      </c>
      <c r="G1299" s="452" t="s">
        <v>1526</v>
      </c>
      <c r="H1299" s="452" t="s">
        <v>1527</v>
      </c>
      <c r="I1299" s="453" t="s">
        <v>844</v>
      </c>
      <c r="J1299" s="453">
        <v>1138</v>
      </c>
      <c r="K1299" s="461">
        <v>664</v>
      </c>
      <c r="L1299" s="461">
        <v>0</v>
      </c>
      <c r="M1299" s="461">
        <v>474</v>
      </c>
      <c r="N1299" s="461">
        <v>0</v>
      </c>
      <c r="O1299" s="461">
        <v>0</v>
      </c>
      <c r="P1299" s="461">
        <v>0</v>
      </c>
      <c r="Q1299" s="461">
        <v>0</v>
      </c>
      <c r="R1299" s="461">
        <v>0</v>
      </c>
      <c r="S1299" s="461">
        <v>0</v>
      </c>
      <c r="T1299" s="461">
        <v>0</v>
      </c>
      <c r="U1299" s="461">
        <v>0</v>
      </c>
      <c r="V1299" s="461">
        <v>0</v>
      </c>
    </row>
    <row r="1300" spans="1:22" s="455" customFormat="1" hidden="1">
      <c r="A1300" s="455" t="str">
        <f t="shared" si="40"/>
        <v>19305301801500</v>
      </c>
      <c r="B1300" s="455" t="str">
        <f>VLOOKUP(LEFT($C$3:$C$2600,3),Table!$D$2:$E$88,2,FALSE)</f>
        <v>Selling &amp; admin expenses</v>
      </c>
      <c r="C1300" s="455" t="str">
        <f t="shared" si="41"/>
        <v>5301801500</v>
      </c>
      <c r="D1300" s="455" t="e">
        <f>VLOOKUP(G1300,Table!$G$3:$H$21,2,FALSE)</f>
        <v>#N/A</v>
      </c>
      <c r="E1300" s="452" t="s">
        <v>902</v>
      </c>
      <c r="F1300" s="452" t="s">
        <v>1616</v>
      </c>
      <c r="G1300" s="452" t="s">
        <v>1552</v>
      </c>
      <c r="H1300" s="452" t="s">
        <v>1553</v>
      </c>
      <c r="I1300" s="453" t="s">
        <v>844</v>
      </c>
      <c r="J1300" s="453">
        <v>7587.99</v>
      </c>
      <c r="K1300" s="461">
        <v>1871.87</v>
      </c>
      <c r="L1300" s="461">
        <v>2782.92</v>
      </c>
      <c r="M1300" s="461">
        <v>2541.81</v>
      </c>
      <c r="N1300" s="461">
        <v>0</v>
      </c>
      <c r="O1300" s="461">
        <v>0</v>
      </c>
      <c r="P1300" s="461">
        <v>0</v>
      </c>
      <c r="Q1300" s="461">
        <v>0</v>
      </c>
      <c r="R1300" s="461">
        <v>0</v>
      </c>
      <c r="S1300" s="461">
        <v>0</v>
      </c>
      <c r="T1300" s="461">
        <v>0</v>
      </c>
      <c r="U1300" s="461">
        <v>0</v>
      </c>
      <c r="V1300" s="461">
        <v>0</v>
      </c>
    </row>
    <row r="1301" spans="1:22" s="455" customFormat="1" hidden="1">
      <c r="A1301" s="455" t="str">
        <f t="shared" si="40"/>
        <v>19305302403000</v>
      </c>
      <c r="B1301" s="455" t="str">
        <f>VLOOKUP(LEFT($C$3:$C$2600,3),Table!$D$2:$E$88,2,FALSE)</f>
        <v>Selling &amp; admin expenses</v>
      </c>
      <c r="C1301" s="455" t="str">
        <f t="shared" si="41"/>
        <v>5302403000</v>
      </c>
      <c r="D1301" s="455" t="e">
        <f>VLOOKUP(G1301,Table!$G$3:$H$21,2,FALSE)</f>
        <v>#N/A</v>
      </c>
      <c r="E1301" s="452" t="s">
        <v>902</v>
      </c>
      <c r="F1301" s="452" t="s">
        <v>1616</v>
      </c>
      <c r="G1301" s="452" t="s">
        <v>1585</v>
      </c>
      <c r="H1301" s="452" t="s">
        <v>1586</v>
      </c>
      <c r="I1301" s="453" t="s">
        <v>844</v>
      </c>
      <c r="J1301" s="453">
        <v>396</v>
      </c>
      <c r="K1301" s="461">
        <v>196</v>
      </c>
      <c r="L1301" s="461">
        <v>200</v>
      </c>
      <c r="M1301" s="461">
        <v>0</v>
      </c>
      <c r="N1301" s="461">
        <v>0</v>
      </c>
      <c r="O1301" s="461">
        <v>0</v>
      </c>
      <c r="P1301" s="461">
        <v>0</v>
      </c>
      <c r="Q1301" s="461">
        <v>0</v>
      </c>
      <c r="R1301" s="461">
        <v>0</v>
      </c>
      <c r="S1301" s="461">
        <v>0</v>
      </c>
      <c r="T1301" s="461">
        <v>0</v>
      </c>
      <c r="U1301" s="461">
        <v>0</v>
      </c>
      <c r="V1301" s="461">
        <v>0</v>
      </c>
    </row>
    <row r="1302" spans="1:22" s="455" customFormat="1" hidden="1">
      <c r="A1302" s="455" t="str">
        <f t="shared" si="40"/>
        <v>19305302403100</v>
      </c>
      <c r="B1302" s="455" t="str">
        <f>VLOOKUP(LEFT($C$3:$C$2600,3),Table!$D$2:$E$88,2,FALSE)</f>
        <v>Selling &amp; admin expenses</v>
      </c>
      <c r="C1302" s="455" t="str">
        <f t="shared" si="41"/>
        <v>5302403100</v>
      </c>
      <c r="D1302" s="455" t="e">
        <f>VLOOKUP(G1302,Table!$G$3:$H$21,2,FALSE)</f>
        <v>#N/A</v>
      </c>
      <c r="E1302" s="452" t="s">
        <v>902</v>
      </c>
      <c r="F1302" s="452" t="s">
        <v>1616</v>
      </c>
      <c r="G1302" s="452" t="s">
        <v>1555</v>
      </c>
      <c r="H1302" s="452" t="s">
        <v>1461</v>
      </c>
      <c r="I1302" s="453" t="s">
        <v>844</v>
      </c>
      <c r="J1302" s="453">
        <v>90</v>
      </c>
      <c r="K1302" s="461">
        <v>0</v>
      </c>
      <c r="L1302" s="461">
        <v>70</v>
      </c>
      <c r="M1302" s="461">
        <v>20</v>
      </c>
      <c r="N1302" s="461">
        <v>0</v>
      </c>
      <c r="O1302" s="461">
        <v>0</v>
      </c>
      <c r="P1302" s="461">
        <v>0</v>
      </c>
      <c r="Q1302" s="461">
        <v>0</v>
      </c>
      <c r="R1302" s="461">
        <v>0</v>
      </c>
      <c r="S1302" s="461">
        <v>0</v>
      </c>
      <c r="T1302" s="461">
        <v>0</v>
      </c>
      <c r="U1302" s="461">
        <v>0</v>
      </c>
      <c r="V1302" s="461">
        <v>0</v>
      </c>
    </row>
    <row r="1303" spans="1:22" s="455" customFormat="1" hidden="1">
      <c r="A1303" s="455" t="str">
        <f t="shared" si="40"/>
        <v>19305302701026</v>
      </c>
      <c r="B1303" s="455" t="str">
        <f>VLOOKUP(LEFT($C$3:$C$2600,3),Table!$D$2:$E$88,2,FALSE)</f>
        <v>Selling &amp; admin expenses</v>
      </c>
      <c r="C1303" s="455" t="str">
        <f t="shared" si="41"/>
        <v>5302701026</v>
      </c>
      <c r="D1303" s="455" t="e">
        <f>VLOOKUP(G1303,Table!$G$3:$H$21,2,FALSE)</f>
        <v>#N/A</v>
      </c>
      <c r="E1303" s="452" t="s">
        <v>902</v>
      </c>
      <c r="F1303" s="452" t="s">
        <v>1616</v>
      </c>
      <c r="G1303" s="452" t="s">
        <v>1627</v>
      </c>
      <c r="H1303" s="452" t="s">
        <v>1628</v>
      </c>
      <c r="I1303" s="453" t="s">
        <v>844</v>
      </c>
      <c r="J1303" s="453">
        <v>1901.8</v>
      </c>
      <c r="K1303" s="461">
        <v>0</v>
      </c>
      <c r="L1303" s="461">
        <v>0</v>
      </c>
      <c r="M1303" s="461">
        <v>1901.8</v>
      </c>
      <c r="N1303" s="461">
        <v>0</v>
      </c>
      <c r="O1303" s="461">
        <v>0</v>
      </c>
      <c r="P1303" s="461">
        <v>0</v>
      </c>
      <c r="Q1303" s="461">
        <v>0</v>
      </c>
      <c r="R1303" s="461">
        <v>0</v>
      </c>
      <c r="S1303" s="461">
        <v>0</v>
      </c>
      <c r="T1303" s="461">
        <v>0</v>
      </c>
      <c r="U1303" s="461">
        <v>0</v>
      </c>
      <c r="V1303" s="461">
        <v>0</v>
      </c>
    </row>
    <row r="1304" spans="1:22" s="455" customFormat="1" hidden="1">
      <c r="A1304" s="455" t="str">
        <f t="shared" si="40"/>
        <v>19305302701027</v>
      </c>
      <c r="B1304" s="455" t="str">
        <f>VLOOKUP(LEFT($C$3:$C$2600,3),Table!$D$2:$E$88,2,FALSE)</f>
        <v>Selling &amp; admin expenses</v>
      </c>
      <c r="C1304" s="455" t="str">
        <f t="shared" si="41"/>
        <v>5302701027</v>
      </c>
      <c r="D1304" s="455" t="e">
        <f>VLOOKUP(G1304,Table!$G$3:$H$21,2,FALSE)</f>
        <v>#N/A</v>
      </c>
      <c r="E1304" s="452" t="s">
        <v>902</v>
      </c>
      <c r="F1304" s="452" t="s">
        <v>1616</v>
      </c>
      <c r="G1304" s="452" t="s">
        <v>1629</v>
      </c>
      <c r="H1304" s="452" t="s">
        <v>1419</v>
      </c>
      <c r="I1304" s="453" t="s">
        <v>844</v>
      </c>
      <c r="J1304" s="453">
        <v>2084.4499999999998</v>
      </c>
      <c r="K1304" s="461">
        <v>2084.4499999999998</v>
      </c>
      <c r="L1304" s="461">
        <v>0</v>
      </c>
      <c r="M1304" s="461">
        <v>1104.07</v>
      </c>
      <c r="N1304" s="461">
        <v>0</v>
      </c>
      <c r="O1304" s="461">
        <v>0</v>
      </c>
      <c r="P1304" s="461">
        <v>0</v>
      </c>
      <c r="Q1304" s="461">
        <v>0</v>
      </c>
      <c r="R1304" s="461">
        <v>0</v>
      </c>
      <c r="S1304" s="461">
        <v>0</v>
      </c>
      <c r="T1304" s="461">
        <v>0</v>
      </c>
      <c r="U1304" s="461">
        <v>0</v>
      </c>
      <c r="V1304" s="461">
        <v>0</v>
      </c>
    </row>
    <row r="1305" spans="1:22" s="455" customFormat="1" hidden="1">
      <c r="A1305" s="455" t="str">
        <f t="shared" si="40"/>
        <v>19305302701126</v>
      </c>
      <c r="B1305" s="455" t="str">
        <f>VLOOKUP(LEFT($C$3:$C$2600,3),Table!$D$2:$E$88,2,FALSE)</f>
        <v>Selling &amp; admin expenses</v>
      </c>
      <c r="C1305" s="455" t="str">
        <f t="shared" si="41"/>
        <v>5302701126</v>
      </c>
      <c r="D1305" s="455" t="e">
        <f>VLOOKUP(G1305,Table!$G$3:$H$21,2,FALSE)</f>
        <v>#N/A</v>
      </c>
      <c r="E1305" s="452" t="s">
        <v>902</v>
      </c>
      <c r="F1305" s="452" t="s">
        <v>1616</v>
      </c>
      <c r="G1305" s="452" t="s">
        <v>1630</v>
      </c>
      <c r="H1305" s="452" t="s">
        <v>1631</v>
      </c>
      <c r="I1305" s="453" t="s">
        <v>844</v>
      </c>
      <c r="J1305" s="453">
        <v>294.99</v>
      </c>
      <c r="K1305" s="461">
        <v>96.99</v>
      </c>
      <c r="L1305" s="461">
        <v>99</v>
      </c>
      <c r="M1305" s="461">
        <v>99</v>
      </c>
      <c r="N1305" s="461">
        <v>0</v>
      </c>
      <c r="O1305" s="461">
        <v>0</v>
      </c>
      <c r="P1305" s="461">
        <v>0</v>
      </c>
      <c r="Q1305" s="461">
        <v>0</v>
      </c>
      <c r="R1305" s="461">
        <v>0</v>
      </c>
      <c r="S1305" s="461">
        <v>0</v>
      </c>
      <c r="T1305" s="461">
        <v>0</v>
      </c>
      <c r="U1305" s="461">
        <v>0</v>
      </c>
      <c r="V1305" s="461">
        <v>0</v>
      </c>
    </row>
    <row r="1306" spans="1:22" s="455" customFormat="1" hidden="1">
      <c r="A1306" s="455" t="str">
        <f t="shared" si="40"/>
        <v>19305302701227</v>
      </c>
      <c r="B1306" s="455" t="str">
        <f>VLOOKUP(LEFT($C$3:$C$2600,3),Table!$D$2:$E$88,2,FALSE)</f>
        <v>Selling &amp; admin expenses</v>
      </c>
      <c r="C1306" s="455" t="str">
        <f t="shared" si="41"/>
        <v>5302701227</v>
      </c>
      <c r="D1306" s="455" t="e">
        <f>VLOOKUP(G1306,Table!$G$3:$H$21,2,FALSE)</f>
        <v>#N/A</v>
      </c>
      <c r="E1306" s="452" t="s">
        <v>902</v>
      </c>
      <c r="F1306" s="452" t="s">
        <v>1616</v>
      </c>
      <c r="G1306" s="452" t="s">
        <v>2573</v>
      </c>
      <c r="H1306" s="452" t="s">
        <v>1434</v>
      </c>
      <c r="I1306" s="453" t="s">
        <v>844</v>
      </c>
      <c r="J1306" s="453">
        <v>180</v>
      </c>
      <c r="K1306" s="461">
        <v>0</v>
      </c>
      <c r="L1306" s="461">
        <v>180</v>
      </c>
      <c r="M1306" s="461">
        <v>0</v>
      </c>
      <c r="N1306" s="461">
        <v>0</v>
      </c>
      <c r="O1306" s="461">
        <v>0</v>
      </c>
      <c r="P1306" s="461">
        <v>0</v>
      </c>
      <c r="Q1306" s="461">
        <v>0</v>
      </c>
      <c r="R1306" s="461">
        <v>0</v>
      </c>
      <c r="S1306" s="461">
        <v>0</v>
      </c>
      <c r="T1306" s="461">
        <v>0</v>
      </c>
      <c r="U1306" s="461">
        <v>0</v>
      </c>
      <c r="V1306" s="461">
        <v>0</v>
      </c>
    </row>
    <row r="1307" spans="1:22" s="455" customFormat="1" hidden="1">
      <c r="A1307" s="455" t="str">
        <f t="shared" si="40"/>
        <v>19305302801000</v>
      </c>
      <c r="B1307" s="455" t="str">
        <f>VLOOKUP(LEFT($C$3:$C$2600,3),Table!$D$2:$E$88,2,FALSE)</f>
        <v>Selling &amp; admin expenses</v>
      </c>
      <c r="C1307" s="455" t="str">
        <f t="shared" si="41"/>
        <v>5302801000</v>
      </c>
      <c r="D1307" s="455" t="e">
        <f>VLOOKUP(G1307,Table!$G$3:$H$21,2,FALSE)</f>
        <v>#N/A</v>
      </c>
      <c r="E1307" s="452" t="s">
        <v>902</v>
      </c>
      <c r="F1307" s="452" t="s">
        <v>1616</v>
      </c>
      <c r="G1307" s="452" t="s">
        <v>1538</v>
      </c>
      <c r="H1307" s="452" t="s">
        <v>1042</v>
      </c>
      <c r="I1307" s="453" t="s">
        <v>844</v>
      </c>
      <c r="J1307" s="453">
        <v>1710</v>
      </c>
      <c r="K1307" s="461">
        <v>0</v>
      </c>
      <c r="L1307" s="461">
        <v>120</v>
      </c>
      <c r="M1307" s="461">
        <v>0</v>
      </c>
      <c r="N1307" s="461">
        <v>0</v>
      </c>
      <c r="O1307" s="461">
        <v>0</v>
      </c>
      <c r="P1307" s="461">
        <v>0</v>
      </c>
      <c r="Q1307" s="461">
        <v>0</v>
      </c>
      <c r="R1307" s="461">
        <v>0</v>
      </c>
      <c r="S1307" s="461">
        <v>0</v>
      </c>
      <c r="T1307" s="461">
        <v>0</v>
      </c>
      <c r="U1307" s="461">
        <v>0</v>
      </c>
      <c r="V1307" s="461">
        <v>0</v>
      </c>
    </row>
    <row r="1308" spans="1:22" s="455" customFormat="1" hidden="1">
      <c r="A1308" s="455" t="str">
        <f t="shared" si="40"/>
        <v>19305303001600</v>
      </c>
      <c r="B1308" s="455" t="str">
        <f>VLOOKUP(LEFT($C$3:$C$2600,3),Table!$D$2:$E$88,2,FALSE)</f>
        <v>Selling &amp; admin expenses</v>
      </c>
      <c r="C1308" s="455" t="str">
        <f t="shared" si="41"/>
        <v>5303001600</v>
      </c>
      <c r="D1308" s="455" t="e">
        <f>VLOOKUP(G1308,Table!$G$3:$H$21,2,FALSE)</f>
        <v>#N/A</v>
      </c>
      <c r="E1308" s="452" t="s">
        <v>902</v>
      </c>
      <c r="F1308" s="452" t="s">
        <v>1616</v>
      </c>
      <c r="G1308" s="452" t="s">
        <v>1563</v>
      </c>
      <c r="H1308" s="452" t="s">
        <v>1564</v>
      </c>
      <c r="I1308" s="453" t="s">
        <v>844</v>
      </c>
      <c r="J1308" s="453">
        <v>5433</v>
      </c>
      <c r="K1308" s="461">
        <v>1811</v>
      </c>
      <c r="L1308" s="461">
        <v>1811</v>
      </c>
      <c r="M1308" s="461">
        <v>1811</v>
      </c>
      <c r="N1308" s="461">
        <v>0</v>
      </c>
      <c r="O1308" s="461">
        <v>0</v>
      </c>
      <c r="P1308" s="461">
        <v>0</v>
      </c>
      <c r="Q1308" s="461">
        <v>0</v>
      </c>
      <c r="R1308" s="461">
        <v>0</v>
      </c>
      <c r="S1308" s="461">
        <v>0</v>
      </c>
      <c r="T1308" s="461">
        <v>0</v>
      </c>
      <c r="U1308" s="461">
        <v>0</v>
      </c>
      <c r="V1308" s="461">
        <v>0</v>
      </c>
    </row>
    <row r="1309" spans="1:22" s="455" customFormat="1" hidden="1">
      <c r="A1309" s="455" t="str">
        <f t="shared" si="40"/>
        <v>19305303401610</v>
      </c>
      <c r="B1309" s="455" t="str">
        <f>VLOOKUP(LEFT($C$3:$C$2600,3),Table!$D$2:$E$88,2,FALSE)</f>
        <v>Selling &amp; admin expenses</v>
      </c>
      <c r="C1309" s="455" t="str">
        <f t="shared" si="41"/>
        <v>5303401610</v>
      </c>
      <c r="D1309" s="455" t="e">
        <f>VLOOKUP(G1309,Table!$G$3:$H$21,2,FALSE)</f>
        <v>#N/A</v>
      </c>
      <c r="E1309" s="452" t="s">
        <v>902</v>
      </c>
      <c r="F1309" s="452" t="s">
        <v>1616</v>
      </c>
      <c r="G1309" s="452" t="s">
        <v>1632</v>
      </c>
      <c r="H1309" s="452" t="s">
        <v>1390</v>
      </c>
      <c r="I1309" s="453" t="s">
        <v>844</v>
      </c>
      <c r="J1309" s="453">
        <v>676.95</v>
      </c>
      <c r="K1309" s="461">
        <v>0</v>
      </c>
      <c r="L1309" s="461">
        <v>398.95</v>
      </c>
      <c r="M1309" s="461">
        <v>278</v>
      </c>
      <c r="N1309" s="461">
        <v>0</v>
      </c>
      <c r="O1309" s="461">
        <v>0</v>
      </c>
      <c r="P1309" s="461">
        <v>0</v>
      </c>
      <c r="Q1309" s="461">
        <v>0</v>
      </c>
      <c r="R1309" s="461">
        <v>0</v>
      </c>
      <c r="S1309" s="461">
        <v>0</v>
      </c>
      <c r="T1309" s="461">
        <v>0</v>
      </c>
      <c r="U1309" s="461">
        <v>0</v>
      </c>
      <c r="V1309" s="461">
        <v>0</v>
      </c>
    </row>
    <row r="1310" spans="1:22" s="455" customFormat="1" hidden="1">
      <c r="A1310" s="455" t="str">
        <f t="shared" si="40"/>
        <v>19305303402000</v>
      </c>
      <c r="B1310" s="455" t="str">
        <f>VLOOKUP(LEFT($C$3:$C$2600,3),Table!$D$2:$E$88,2,FALSE)</f>
        <v>Selling &amp; admin expenses</v>
      </c>
      <c r="C1310" s="455" t="str">
        <f t="shared" si="41"/>
        <v>5303402000</v>
      </c>
      <c r="D1310" s="455" t="e">
        <f>VLOOKUP(G1310,Table!$G$3:$H$21,2,FALSE)</f>
        <v>#N/A</v>
      </c>
      <c r="E1310" s="452" t="s">
        <v>902</v>
      </c>
      <c r="F1310" s="452" t="s">
        <v>1616</v>
      </c>
      <c r="G1310" s="452" t="s">
        <v>1633</v>
      </c>
      <c r="H1310" s="452" t="s">
        <v>1634</v>
      </c>
      <c r="I1310" s="453" t="s">
        <v>844</v>
      </c>
      <c r="J1310" s="453">
        <v>5104</v>
      </c>
      <c r="K1310" s="461">
        <v>0</v>
      </c>
      <c r="L1310" s="461">
        <v>5041</v>
      </c>
      <c r="M1310" s="461">
        <v>63</v>
      </c>
      <c r="N1310" s="461">
        <v>0</v>
      </c>
      <c r="O1310" s="461">
        <v>0</v>
      </c>
      <c r="P1310" s="461">
        <v>0</v>
      </c>
      <c r="Q1310" s="461">
        <v>0</v>
      </c>
      <c r="R1310" s="461">
        <v>0</v>
      </c>
      <c r="S1310" s="461">
        <v>0</v>
      </c>
      <c r="T1310" s="461">
        <v>0</v>
      </c>
      <c r="U1310" s="461">
        <v>0</v>
      </c>
      <c r="V1310" s="461">
        <v>0</v>
      </c>
    </row>
    <row r="1311" spans="1:22" s="455" customFormat="1" hidden="1">
      <c r="A1311" s="455" t="str">
        <f t="shared" si="40"/>
        <v>19315301501331</v>
      </c>
      <c r="B1311" s="455" t="str">
        <f>VLOOKUP(LEFT($C$3:$C$2600,3),Table!$D$2:$E$88,2,FALSE)</f>
        <v>Selling &amp; admin expenses</v>
      </c>
      <c r="C1311" s="455" t="str">
        <f t="shared" si="41"/>
        <v>5301501331</v>
      </c>
      <c r="D1311" s="455" t="e">
        <f>VLOOKUP(G1311,Table!$G$3:$H$21,2,FALSE)</f>
        <v>#N/A</v>
      </c>
      <c r="E1311" s="452" t="s">
        <v>902</v>
      </c>
      <c r="F1311" s="452" t="s">
        <v>1635</v>
      </c>
      <c r="G1311" s="452" t="s">
        <v>1643</v>
      </c>
      <c r="H1311" s="452" t="s">
        <v>1644</v>
      </c>
      <c r="I1311" s="453" t="s">
        <v>844</v>
      </c>
      <c r="J1311" s="453">
        <v>858.1</v>
      </c>
      <c r="K1311" s="461">
        <v>858.1</v>
      </c>
      <c r="L1311" s="461">
        <v>676.98</v>
      </c>
      <c r="M1311" s="461">
        <v>726.03</v>
      </c>
      <c r="N1311" s="461">
        <v>0</v>
      </c>
      <c r="O1311" s="461">
        <v>0</v>
      </c>
      <c r="P1311" s="461">
        <v>0</v>
      </c>
      <c r="Q1311" s="461">
        <v>0</v>
      </c>
      <c r="R1311" s="461">
        <v>0</v>
      </c>
      <c r="S1311" s="461">
        <v>0</v>
      </c>
      <c r="T1311" s="461">
        <v>0</v>
      </c>
      <c r="U1311" s="461">
        <v>0</v>
      </c>
      <c r="V1311" s="461">
        <v>0</v>
      </c>
    </row>
    <row r="1312" spans="1:22" s="455" customFormat="1" hidden="1">
      <c r="A1312" s="455" t="str">
        <f t="shared" si="40"/>
        <v>19315301501332</v>
      </c>
      <c r="B1312" s="455" t="str">
        <f>VLOOKUP(LEFT($C$3:$C$2600,3),Table!$D$2:$E$88,2,FALSE)</f>
        <v>Selling &amp; admin expenses</v>
      </c>
      <c r="C1312" s="455" t="str">
        <f t="shared" si="41"/>
        <v>5301501332</v>
      </c>
      <c r="D1312" s="455" t="e">
        <f>VLOOKUP(G1312,Table!$G$3:$H$21,2,FALSE)</f>
        <v>#N/A</v>
      </c>
      <c r="E1312" s="452" t="s">
        <v>902</v>
      </c>
      <c r="F1312" s="452" t="s">
        <v>1635</v>
      </c>
      <c r="G1312" s="452" t="s">
        <v>1645</v>
      </c>
      <c r="H1312" s="452" t="s">
        <v>1646</v>
      </c>
      <c r="I1312" s="453" t="s">
        <v>844</v>
      </c>
      <c r="J1312" s="453">
        <v>0</v>
      </c>
      <c r="K1312" s="461">
        <v>588.27</v>
      </c>
      <c r="L1312" s="461">
        <v>-71.59</v>
      </c>
      <c r="M1312" s="461">
        <v>680.08</v>
      </c>
      <c r="N1312" s="461">
        <v>0</v>
      </c>
      <c r="O1312" s="461">
        <v>0</v>
      </c>
      <c r="P1312" s="461">
        <v>0</v>
      </c>
      <c r="Q1312" s="461">
        <v>0</v>
      </c>
      <c r="R1312" s="461">
        <v>0</v>
      </c>
      <c r="S1312" s="461">
        <v>0</v>
      </c>
      <c r="T1312" s="461">
        <v>0</v>
      </c>
      <c r="U1312" s="461">
        <v>0</v>
      </c>
      <c r="V1312" s="461">
        <v>0</v>
      </c>
    </row>
    <row r="1313" spans="1:22" s="455" customFormat="1" hidden="1">
      <c r="A1313" s="455" t="str">
        <f t="shared" si="40"/>
        <v>19315301501400</v>
      </c>
      <c r="B1313" s="455" t="str">
        <f>VLOOKUP(LEFT($C$3:$C$2600,3),Table!$D$2:$E$88,2,FALSE)</f>
        <v>Selling &amp; admin expenses</v>
      </c>
      <c r="C1313" s="455" t="str">
        <f t="shared" si="41"/>
        <v>5301501400</v>
      </c>
      <c r="D1313" s="455" t="e">
        <f>VLOOKUP(G1313,Table!$G$3:$H$21,2,FALSE)</f>
        <v>#N/A</v>
      </c>
      <c r="E1313" s="452" t="s">
        <v>902</v>
      </c>
      <c r="F1313" s="452" t="s">
        <v>1635</v>
      </c>
      <c r="G1313" s="452" t="s">
        <v>1522</v>
      </c>
      <c r="H1313" s="452" t="s">
        <v>1523</v>
      </c>
      <c r="I1313" s="453" t="s">
        <v>844</v>
      </c>
      <c r="J1313" s="453">
        <v>1527.5</v>
      </c>
      <c r="K1313" s="461">
        <v>485</v>
      </c>
      <c r="L1313" s="461">
        <v>642.5</v>
      </c>
      <c r="M1313" s="461">
        <v>400</v>
      </c>
      <c r="N1313" s="461">
        <v>0</v>
      </c>
      <c r="O1313" s="461">
        <v>0</v>
      </c>
      <c r="P1313" s="461">
        <v>0</v>
      </c>
      <c r="Q1313" s="461">
        <v>0</v>
      </c>
      <c r="R1313" s="461">
        <v>0</v>
      </c>
      <c r="S1313" s="461">
        <v>0</v>
      </c>
      <c r="T1313" s="461">
        <v>0</v>
      </c>
      <c r="U1313" s="461">
        <v>0</v>
      </c>
      <c r="V1313" s="461">
        <v>0</v>
      </c>
    </row>
    <row r="1314" spans="1:22" s="455" customFormat="1" hidden="1">
      <c r="A1314" s="455" t="str">
        <f t="shared" si="40"/>
        <v>19315301502000</v>
      </c>
      <c r="B1314" s="455" t="str">
        <f>VLOOKUP(LEFT($C$3:$C$2600,3),Table!$D$2:$E$88,2,FALSE)</f>
        <v>Selling &amp; admin expenses</v>
      </c>
      <c r="C1314" s="455" t="str">
        <f t="shared" si="41"/>
        <v>5301502000</v>
      </c>
      <c r="D1314" s="455" t="e">
        <f>VLOOKUP(G1314,Table!$G$3:$H$21,2,FALSE)</f>
        <v>#N/A</v>
      </c>
      <c r="E1314" s="452" t="s">
        <v>902</v>
      </c>
      <c r="F1314" s="452" t="s">
        <v>1635</v>
      </c>
      <c r="G1314" s="452" t="s">
        <v>1544</v>
      </c>
      <c r="H1314" s="452" t="s">
        <v>1545</v>
      </c>
      <c r="I1314" s="453" t="s">
        <v>844</v>
      </c>
      <c r="J1314" s="453">
        <v>2787</v>
      </c>
      <c r="K1314" s="461">
        <v>787</v>
      </c>
      <c r="L1314" s="461">
        <v>2000</v>
      </c>
      <c r="M1314" s="461">
        <v>813</v>
      </c>
      <c r="N1314" s="461">
        <v>0</v>
      </c>
      <c r="O1314" s="461">
        <v>0</v>
      </c>
      <c r="P1314" s="461">
        <v>0</v>
      </c>
      <c r="Q1314" s="461">
        <v>0</v>
      </c>
      <c r="R1314" s="461">
        <v>0</v>
      </c>
      <c r="S1314" s="461">
        <v>0</v>
      </c>
      <c r="T1314" s="461">
        <v>0</v>
      </c>
      <c r="U1314" s="461">
        <v>0</v>
      </c>
      <c r="V1314" s="461">
        <v>0</v>
      </c>
    </row>
    <row r="1315" spans="1:22" s="455" customFormat="1" hidden="1">
      <c r="A1315" s="455" t="str">
        <f t="shared" si="40"/>
        <v>19315301502200</v>
      </c>
      <c r="B1315" s="455" t="str">
        <f>VLOOKUP(LEFT($C$3:$C$2600,3),Table!$D$2:$E$88,2,FALSE)</f>
        <v>Selling &amp; admin expenses</v>
      </c>
      <c r="C1315" s="455" t="str">
        <f t="shared" si="41"/>
        <v>5301502200</v>
      </c>
      <c r="D1315" s="455" t="e">
        <f>VLOOKUP(G1315,Table!$G$3:$H$21,2,FALSE)</f>
        <v>#N/A</v>
      </c>
      <c r="E1315" s="452" t="s">
        <v>902</v>
      </c>
      <c r="F1315" s="452" t="s">
        <v>1635</v>
      </c>
      <c r="G1315" s="452" t="s">
        <v>1546</v>
      </c>
      <c r="H1315" s="452" t="s">
        <v>1547</v>
      </c>
      <c r="I1315" s="453" t="s">
        <v>844</v>
      </c>
      <c r="J1315" s="453">
        <v>2539.98</v>
      </c>
      <c r="K1315" s="461">
        <v>605.45000000000005</v>
      </c>
      <c r="L1315" s="461">
        <v>1934.53</v>
      </c>
      <c r="M1315" s="461">
        <v>0</v>
      </c>
      <c r="N1315" s="461">
        <v>0</v>
      </c>
      <c r="O1315" s="461">
        <v>0</v>
      </c>
      <c r="P1315" s="461">
        <v>0</v>
      </c>
      <c r="Q1315" s="461">
        <v>0</v>
      </c>
      <c r="R1315" s="461">
        <v>0</v>
      </c>
      <c r="S1315" s="461">
        <v>0</v>
      </c>
      <c r="T1315" s="461">
        <v>0</v>
      </c>
      <c r="U1315" s="461">
        <v>0</v>
      </c>
      <c r="V1315" s="461">
        <v>0</v>
      </c>
    </row>
    <row r="1316" spans="1:22" s="455" customFormat="1" hidden="1">
      <c r="A1316" s="455" t="str">
        <f t="shared" si="40"/>
        <v>19315301601000</v>
      </c>
      <c r="B1316" s="455" t="str">
        <f>VLOOKUP(LEFT($C$3:$C$2600,3),Table!$D$2:$E$88,2,FALSE)</f>
        <v>Selling &amp; admin expenses</v>
      </c>
      <c r="C1316" s="455" t="str">
        <f t="shared" si="41"/>
        <v>5301601000</v>
      </c>
      <c r="D1316" s="455" t="e">
        <f>VLOOKUP(G1316,Table!$G$3:$H$21,2,FALSE)</f>
        <v>#N/A</v>
      </c>
      <c r="E1316" s="452" t="s">
        <v>902</v>
      </c>
      <c r="F1316" s="452" t="s">
        <v>1635</v>
      </c>
      <c r="G1316" s="452" t="s">
        <v>1524</v>
      </c>
      <c r="H1316" s="452" t="s">
        <v>1014</v>
      </c>
      <c r="I1316" s="453" t="s">
        <v>844</v>
      </c>
      <c r="J1316" s="453">
        <v>1440.85</v>
      </c>
      <c r="K1316" s="461">
        <v>751.25</v>
      </c>
      <c r="L1316" s="461">
        <v>593.15</v>
      </c>
      <c r="M1316" s="461">
        <v>96.45</v>
      </c>
      <c r="N1316" s="461">
        <v>0</v>
      </c>
      <c r="O1316" s="461">
        <v>0</v>
      </c>
      <c r="P1316" s="461">
        <v>0</v>
      </c>
      <c r="Q1316" s="461">
        <v>0</v>
      </c>
      <c r="R1316" s="461">
        <v>0</v>
      </c>
      <c r="S1316" s="461">
        <v>0</v>
      </c>
      <c r="T1316" s="461">
        <v>0</v>
      </c>
      <c r="U1316" s="461">
        <v>0</v>
      </c>
      <c r="V1316" s="461">
        <v>0</v>
      </c>
    </row>
    <row r="1317" spans="1:22" s="455" customFormat="1" hidden="1">
      <c r="A1317" s="455" t="str">
        <f t="shared" si="40"/>
        <v>19315301601001</v>
      </c>
      <c r="B1317" s="455" t="str">
        <f>VLOOKUP(LEFT($C$3:$C$2600,3),Table!$D$2:$E$88,2,FALSE)</f>
        <v>Selling &amp; admin expenses</v>
      </c>
      <c r="C1317" s="455" t="str">
        <f t="shared" si="41"/>
        <v>5301601001</v>
      </c>
      <c r="D1317" s="455" t="e">
        <f>VLOOKUP(G1317,Table!$G$3:$H$21,2,FALSE)</f>
        <v>#N/A</v>
      </c>
      <c r="E1317" s="452" t="s">
        <v>902</v>
      </c>
      <c r="F1317" s="452" t="s">
        <v>1635</v>
      </c>
      <c r="G1317" s="452" t="s">
        <v>1525</v>
      </c>
      <c r="H1317" s="452" t="s">
        <v>1016</v>
      </c>
      <c r="I1317" s="453" t="s">
        <v>844</v>
      </c>
      <c r="J1317" s="453">
        <v>316.58999999999997</v>
      </c>
      <c r="K1317" s="461">
        <v>0</v>
      </c>
      <c r="L1317" s="461">
        <v>939.32</v>
      </c>
      <c r="M1317" s="461">
        <v>-622.73</v>
      </c>
      <c r="N1317" s="461">
        <v>0</v>
      </c>
      <c r="O1317" s="461">
        <v>0</v>
      </c>
      <c r="P1317" s="461">
        <v>0</v>
      </c>
      <c r="Q1317" s="461">
        <v>0</v>
      </c>
      <c r="R1317" s="461">
        <v>0</v>
      </c>
      <c r="S1317" s="461">
        <v>0</v>
      </c>
      <c r="T1317" s="461">
        <v>0</v>
      </c>
      <c r="U1317" s="461">
        <v>0</v>
      </c>
      <c r="V1317" s="461">
        <v>0</v>
      </c>
    </row>
    <row r="1318" spans="1:22" s="455" customFormat="1" hidden="1">
      <c r="A1318" s="455" t="str">
        <f t="shared" si="40"/>
        <v>19315301602000</v>
      </c>
      <c r="B1318" s="455" t="str">
        <f>VLOOKUP(LEFT($C$3:$C$2600,3),Table!$D$2:$E$88,2,FALSE)</f>
        <v>Selling &amp; admin expenses</v>
      </c>
      <c r="C1318" s="455" t="str">
        <f t="shared" si="41"/>
        <v>5301602000</v>
      </c>
      <c r="D1318" s="455" t="e">
        <f>VLOOKUP(G1318,Table!$G$3:$H$21,2,FALSE)</f>
        <v>#N/A</v>
      </c>
      <c r="E1318" s="452" t="s">
        <v>902</v>
      </c>
      <c r="F1318" s="452" t="s">
        <v>1635</v>
      </c>
      <c r="G1318" s="452" t="s">
        <v>1611</v>
      </c>
      <c r="H1318" s="452" t="s">
        <v>1612</v>
      </c>
      <c r="I1318" s="453" t="s">
        <v>844</v>
      </c>
      <c r="J1318" s="453">
        <v>330.93</v>
      </c>
      <c r="K1318" s="461">
        <v>360.48</v>
      </c>
      <c r="L1318" s="461">
        <v>-29.55</v>
      </c>
      <c r="M1318" s="461">
        <v>0</v>
      </c>
      <c r="N1318" s="461">
        <v>0</v>
      </c>
      <c r="O1318" s="461">
        <v>0</v>
      </c>
      <c r="P1318" s="461">
        <v>0</v>
      </c>
      <c r="Q1318" s="461">
        <v>0</v>
      </c>
      <c r="R1318" s="461">
        <v>0</v>
      </c>
      <c r="S1318" s="461">
        <v>0</v>
      </c>
      <c r="T1318" s="461">
        <v>0</v>
      </c>
      <c r="U1318" s="461">
        <v>0</v>
      </c>
      <c r="V1318" s="461">
        <v>0</v>
      </c>
    </row>
    <row r="1319" spans="1:22" s="455" customFormat="1" hidden="1">
      <c r="A1319" s="455" t="str">
        <f t="shared" si="40"/>
        <v>19315301602001</v>
      </c>
      <c r="B1319" s="455" t="str">
        <f>VLOOKUP(LEFT($C$3:$C$2600,3),Table!$D$2:$E$88,2,FALSE)</f>
        <v>Selling &amp; admin expenses</v>
      </c>
      <c r="C1319" s="455" t="str">
        <f t="shared" si="41"/>
        <v>5301602001</v>
      </c>
      <c r="D1319" s="455" t="e">
        <f>VLOOKUP(G1319,Table!$G$3:$H$21,2,FALSE)</f>
        <v>#N/A</v>
      </c>
      <c r="E1319" s="452" t="s">
        <v>902</v>
      </c>
      <c r="F1319" s="452" t="s">
        <v>1635</v>
      </c>
      <c r="G1319" s="452" t="s">
        <v>2568</v>
      </c>
      <c r="H1319" s="452" t="s">
        <v>2534</v>
      </c>
      <c r="I1319" s="453" t="s">
        <v>844</v>
      </c>
      <c r="J1319" s="453">
        <v>639.48</v>
      </c>
      <c r="K1319" s="461">
        <v>0</v>
      </c>
      <c r="L1319" s="461">
        <v>16.75</v>
      </c>
      <c r="M1319" s="461">
        <v>622.73</v>
      </c>
      <c r="N1319" s="461">
        <v>0</v>
      </c>
      <c r="O1319" s="461">
        <v>0</v>
      </c>
      <c r="P1319" s="461">
        <v>0</v>
      </c>
      <c r="Q1319" s="461">
        <v>0</v>
      </c>
      <c r="R1319" s="461">
        <v>0</v>
      </c>
      <c r="S1319" s="461">
        <v>0</v>
      </c>
      <c r="T1319" s="461">
        <v>0</v>
      </c>
      <c r="U1319" s="461">
        <v>0</v>
      </c>
      <c r="V1319" s="461">
        <v>0</v>
      </c>
    </row>
    <row r="1320" spans="1:22" s="455" customFormat="1" hidden="1">
      <c r="A1320" s="455" t="str">
        <f t="shared" si="40"/>
        <v>19315301602100</v>
      </c>
      <c r="B1320" s="455" t="str">
        <f>VLOOKUP(LEFT($C$3:$C$2600,3),Table!$D$2:$E$88,2,FALSE)</f>
        <v>Selling &amp; admin expenses</v>
      </c>
      <c r="C1320" s="455" t="str">
        <f t="shared" si="41"/>
        <v>5301602100</v>
      </c>
      <c r="D1320" s="455" t="e">
        <f>VLOOKUP(G1320,Table!$G$3:$H$21,2,FALSE)</f>
        <v>#N/A</v>
      </c>
      <c r="E1320" s="452" t="s">
        <v>902</v>
      </c>
      <c r="F1320" s="452" t="s">
        <v>1635</v>
      </c>
      <c r="G1320" s="452" t="s">
        <v>1581</v>
      </c>
      <c r="H1320" s="452" t="s">
        <v>1582</v>
      </c>
      <c r="I1320" s="453" t="s">
        <v>844</v>
      </c>
      <c r="J1320" s="453">
        <v>5083.78</v>
      </c>
      <c r="K1320" s="461">
        <v>969.43</v>
      </c>
      <c r="L1320" s="461">
        <v>4114.3500000000004</v>
      </c>
      <c r="M1320" s="461">
        <v>0</v>
      </c>
      <c r="N1320" s="461">
        <v>0</v>
      </c>
      <c r="O1320" s="461">
        <v>0</v>
      </c>
      <c r="P1320" s="461">
        <v>0</v>
      </c>
      <c r="Q1320" s="461">
        <v>0</v>
      </c>
      <c r="R1320" s="461">
        <v>0</v>
      </c>
      <c r="S1320" s="461">
        <v>0</v>
      </c>
      <c r="T1320" s="461">
        <v>0</v>
      </c>
      <c r="U1320" s="461">
        <v>0</v>
      </c>
      <c r="V1320" s="461">
        <v>0</v>
      </c>
    </row>
    <row r="1321" spans="1:22" s="455" customFormat="1" hidden="1">
      <c r="A1321" s="455" t="str">
        <f t="shared" si="40"/>
        <v>19315301701010</v>
      </c>
      <c r="B1321" s="455" t="str">
        <f>VLOOKUP(LEFT($C$3:$C$2600,3),Table!$D$2:$E$88,2,FALSE)</f>
        <v>Selling &amp; admin expenses</v>
      </c>
      <c r="C1321" s="455" t="str">
        <f t="shared" si="41"/>
        <v>5301701010</v>
      </c>
      <c r="D1321" s="455" t="e">
        <f>VLOOKUP(G1321,Table!$G$3:$H$21,2,FALSE)</f>
        <v>#N/A</v>
      </c>
      <c r="E1321" s="452" t="s">
        <v>902</v>
      </c>
      <c r="F1321" s="452" t="s">
        <v>1635</v>
      </c>
      <c r="G1321" s="452" t="s">
        <v>1550</v>
      </c>
      <c r="H1321" s="452" t="s">
        <v>1551</v>
      </c>
      <c r="I1321" s="453" t="s">
        <v>844</v>
      </c>
      <c r="J1321" s="453">
        <v>1249.43</v>
      </c>
      <c r="K1321" s="461">
        <v>328.63</v>
      </c>
      <c r="L1321" s="461">
        <v>1737.03</v>
      </c>
      <c r="M1321" s="461">
        <v>1636.67</v>
      </c>
      <c r="N1321" s="461">
        <v>0</v>
      </c>
      <c r="O1321" s="461">
        <v>0</v>
      </c>
      <c r="P1321" s="461">
        <v>0</v>
      </c>
      <c r="Q1321" s="461">
        <v>0</v>
      </c>
      <c r="R1321" s="461">
        <v>0</v>
      </c>
      <c r="S1321" s="461">
        <v>0</v>
      </c>
      <c r="T1321" s="461">
        <v>0</v>
      </c>
      <c r="U1321" s="461">
        <v>0</v>
      </c>
      <c r="V1321" s="461">
        <v>0</v>
      </c>
    </row>
    <row r="1322" spans="1:22" s="455" customFormat="1" hidden="1">
      <c r="A1322" s="455" t="str">
        <f t="shared" si="40"/>
        <v>19315302701031</v>
      </c>
      <c r="B1322" s="455" t="str">
        <f>VLOOKUP(LEFT($C$3:$C$2600,3),Table!$D$2:$E$88,2,FALSE)</f>
        <v>Selling &amp; admin expenses</v>
      </c>
      <c r="C1322" s="455" t="str">
        <f t="shared" si="41"/>
        <v>5302701031</v>
      </c>
      <c r="D1322" s="455" t="e">
        <f>VLOOKUP(G1322,Table!$G$3:$H$21,2,FALSE)</f>
        <v>#N/A</v>
      </c>
      <c r="E1322" s="452" t="s">
        <v>902</v>
      </c>
      <c r="F1322" s="452" t="s">
        <v>1635</v>
      </c>
      <c r="G1322" s="452" t="s">
        <v>1647</v>
      </c>
      <c r="H1322" s="452" t="s">
        <v>1648</v>
      </c>
      <c r="I1322" s="453" t="s">
        <v>844</v>
      </c>
      <c r="J1322" s="453">
        <v>96</v>
      </c>
      <c r="K1322" s="461">
        <v>0</v>
      </c>
      <c r="L1322" s="461">
        <v>0</v>
      </c>
      <c r="M1322" s="461">
        <v>96</v>
      </c>
      <c r="N1322" s="461">
        <v>0</v>
      </c>
      <c r="O1322" s="461">
        <v>0</v>
      </c>
      <c r="P1322" s="461">
        <v>0</v>
      </c>
      <c r="Q1322" s="461">
        <v>0</v>
      </c>
      <c r="R1322" s="461">
        <v>0</v>
      </c>
      <c r="S1322" s="461">
        <v>0</v>
      </c>
      <c r="T1322" s="461">
        <v>0</v>
      </c>
      <c r="U1322" s="461">
        <v>0</v>
      </c>
      <c r="V1322" s="461">
        <v>0</v>
      </c>
    </row>
    <row r="1323" spans="1:22" s="455" customFormat="1" hidden="1">
      <c r="A1323" s="455" t="str">
        <f t="shared" si="40"/>
        <v>19315302701032</v>
      </c>
      <c r="B1323" s="455" t="str">
        <f>VLOOKUP(LEFT($C$3:$C$2600,3),Table!$D$2:$E$88,2,FALSE)</f>
        <v>Selling &amp; admin expenses</v>
      </c>
      <c r="C1323" s="455" t="str">
        <f t="shared" si="41"/>
        <v>5302701032</v>
      </c>
      <c r="D1323" s="455" t="e">
        <f>VLOOKUP(G1323,Table!$G$3:$H$21,2,FALSE)</f>
        <v>#N/A</v>
      </c>
      <c r="E1323" s="452" t="s">
        <v>902</v>
      </c>
      <c r="F1323" s="452" t="s">
        <v>1635</v>
      </c>
      <c r="G1323" s="452" t="s">
        <v>1649</v>
      </c>
      <c r="H1323" s="452" t="s">
        <v>1650</v>
      </c>
      <c r="I1323" s="453" t="s">
        <v>844</v>
      </c>
      <c r="J1323" s="453">
        <v>1266.27</v>
      </c>
      <c r="K1323" s="461">
        <v>326</v>
      </c>
      <c r="L1323" s="461">
        <v>940.27</v>
      </c>
      <c r="M1323" s="461">
        <v>198.43</v>
      </c>
      <c r="N1323" s="461">
        <v>0</v>
      </c>
      <c r="O1323" s="461">
        <v>0</v>
      </c>
      <c r="P1323" s="461">
        <v>0</v>
      </c>
      <c r="Q1323" s="461">
        <v>0</v>
      </c>
      <c r="R1323" s="461">
        <v>0</v>
      </c>
      <c r="S1323" s="461">
        <v>0</v>
      </c>
      <c r="T1323" s="461">
        <v>0</v>
      </c>
      <c r="U1323" s="461">
        <v>0</v>
      </c>
      <c r="V1323" s="461">
        <v>0</v>
      </c>
    </row>
    <row r="1324" spans="1:22" s="455" customFormat="1" hidden="1">
      <c r="A1324" s="455" t="str">
        <f t="shared" si="40"/>
        <v>19315302701131</v>
      </c>
      <c r="B1324" s="455" t="str">
        <f>VLOOKUP(LEFT($C$3:$C$2600,3),Table!$D$2:$E$88,2,FALSE)</f>
        <v>Selling &amp; admin expenses</v>
      </c>
      <c r="C1324" s="455" t="str">
        <f t="shared" si="41"/>
        <v>5302701131</v>
      </c>
      <c r="D1324" s="455" t="e">
        <f>VLOOKUP(G1324,Table!$G$3:$H$21,2,FALSE)</f>
        <v>#N/A</v>
      </c>
      <c r="E1324" s="452" t="s">
        <v>902</v>
      </c>
      <c r="F1324" s="452" t="s">
        <v>1635</v>
      </c>
      <c r="G1324" s="452" t="s">
        <v>1651</v>
      </c>
      <c r="H1324" s="452" t="s">
        <v>1652</v>
      </c>
      <c r="I1324" s="453" t="s">
        <v>844</v>
      </c>
      <c r="J1324" s="453">
        <v>188.9</v>
      </c>
      <c r="K1324" s="461">
        <v>60.9</v>
      </c>
      <c r="L1324" s="461">
        <v>64</v>
      </c>
      <c r="M1324" s="461">
        <v>64</v>
      </c>
      <c r="N1324" s="461">
        <v>0</v>
      </c>
      <c r="O1324" s="461">
        <v>0</v>
      </c>
      <c r="P1324" s="461">
        <v>0</v>
      </c>
      <c r="Q1324" s="461">
        <v>0</v>
      </c>
      <c r="R1324" s="461">
        <v>0</v>
      </c>
      <c r="S1324" s="461">
        <v>0</v>
      </c>
      <c r="T1324" s="461">
        <v>0</v>
      </c>
      <c r="U1324" s="461">
        <v>0</v>
      </c>
      <c r="V1324" s="461">
        <v>0</v>
      </c>
    </row>
    <row r="1325" spans="1:22" s="455" customFormat="1" hidden="1">
      <c r="A1325" s="455" t="str">
        <f t="shared" si="40"/>
        <v>19315302701132</v>
      </c>
      <c r="B1325" s="455" t="str">
        <f>VLOOKUP(LEFT($C$3:$C$2600,3),Table!$D$2:$E$88,2,FALSE)</f>
        <v>Selling &amp; admin expenses</v>
      </c>
      <c r="C1325" s="455" t="str">
        <f t="shared" si="41"/>
        <v>5302701132</v>
      </c>
      <c r="D1325" s="455" t="e">
        <f>VLOOKUP(G1325,Table!$G$3:$H$21,2,FALSE)</f>
        <v>#N/A</v>
      </c>
      <c r="E1325" s="452" t="s">
        <v>902</v>
      </c>
      <c r="F1325" s="452" t="s">
        <v>1635</v>
      </c>
      <c r="G1325" s="452" t="s">
        <v>1653</v>
      </c>
      <c r="H1325" s="452" t="s">
        <v>1654</v>
      </c>
      <c r="I1325" s="453" t="s">
        <v>844</v>
      </c>
      <c r="J1325" s="453">
        <v>169.43</v>
      </c>
      <c r="K1325" s="461">
        <v>59.43</v>
      </c>
      <c r="L1325" s="461">
        <v>55</v>
      </c>
      <c r="M1325" s="461">
        <v>55</v>
      </c>
      <c r="N1325" s="461">
        <v>0</v>
      </c>
      <c r="O1325" s="461">
        <v>0</v>
      </c>
      <c r="P1325" s="461">
        <v>0</v>
      </c>
      <c r="Q1325" s="461">
        <v>0</v>
      </c>
      <c r="R1325" s="461">
        <v>0</v>
      </c>
      <c r="S1325" s="461">
        <v>0</v>
      </c>
      <c r="T1325" s="461">
        <v>0</v>
      </c>
      <c r="U1325" s="461">
        <v>0</v>
      </c>
      <c r="V1325" s="461">
        <v>0</v>
      </c>
    </row>
    <row r="1326" spans="1:22" s="455" customFormat="1" hidden="1">
      <c r="A1326" s="455" t="str">
        <f t="shared" si="40"/>
        <v>19315303401600</v>
      </c>
      <c r="B1326" s="455" t="str">
        <f>VLOOKUP(LEFT($C$3:$C$2600,3),Table!$D$2:$E$88,2,FALSE)</f>
        <v>Selling &amp; admin expenses</v>
      </c>
      <c r="C1326" s="455" t="str">
        <f t="shared" si="41"/>
        <v>5303401600</v>
      </c>
      <c r="D1326" s="455" t="e">
        <f>VLOOKUP(G1326,Table!$G$3:$H$21,2,FALSE)</f>
        <v>#N/A</v>
      </c>
      <c r="E1326" s="452" t="s">
        <v>902</v>
      </c>
      <c r="F1326" s="452" t="s">
        <v>1635</v>
      </c>
      <c r="G1326" s="452" t="s">
        <v>1565</v>
      </c>
      <c r="H1326" s="452" t="s">
        <v>1454</v>
      </c>
      <c r="I1326" s="453" t="s">
        <v>844</v>
      </c>
      <c r="J1326" s="453">
        <v>167.25</v>
      </c>
      <c r="K1326" s="461">
        <v>0</v>
      </c>
      <c r="L1326" s="461">
        <v>167.25</v>
      </c>
      <c r="M1326" s="461">
        <v>0</v>
      </c>
      <c r="N1326" s="461">
        <v>0</v>
      </c>
      <c r="O1326" s="461">
        <v>0</v>
      </c>
      <c r="P1326" s="461">
        <v>0</v>
      </c>
      <c r="Q1326" s="461">
        <v>0</v>
      </c>
      <c r="R1326" s="461">
        <v>0</v>
      </c>
      <c r="S1326" s="461">
        <v>0</v>
      </c>
      <c r="T1326" s="461">
        <v>0</v>
      </c>
      <c r="U1326" s="461">
        <v>0</v>
      </c>
      <c r="V1326" s="461">
        <v>0</v>
      </c>
    </row>
    <row r="1327" spans="1:22" s="455" customFormat="1" hidden="1">
      <c r="A1327" s="455" t="str">
        <f t="shared" si="40"/>
        <v>19315303401610</v>
      </c>
      <c r="B1327" s="455" t="str">
        <f>VLOOKUP(LEFT($C$3:$C$2600,3),Table!$D$2:$E$88,2,FALSE)</f>
        <v>Selling &amp; admin expenses</v>
      </c>
      <c r="C1327" s="455" t="str">
        <f t="shared" si="41"/>
        <v>5303401610</v>
      </c>
      <c r="D1327" s="455" t="e">
        <f>VLOOKUP(G1327,Table!$G$3:$H$21,2,FALSE)</f>
        <v>#N/A</v>
      </c>
      <c r="E1327" s="452" t="s">
        <v>902</v>
      </c>
      <c r="F1327" s="452" t="s">
        <v>1635</v>
      </c>
      <c r="G1327" s="452" t="s">
        <v>1632</v>
      </c>
      <c r="H1327" s="452" t="s">
        <v>1390</v>
      </c>
      <c r="I1327" s="453" t="s">
        <v>844</v>
      </c>
      <c r="J1327" s="453">
        <v>299.5</v>
      </c>
      <c r="K1327" s="461">
        <v>155.5</v>
      </c>
      <c r="L1327" s="461">
        <v>144</v>
      </c>
      <c r="M1327" s="461">
        <v>0</v>
      </c>
      <c r="N1327" s="461">
        <v>0</v>
      </c>
      <c r="O1327" s="461">
        <v>0</v>
      </c>
      <c r="P1327" s="461">
        <v>0</v>
      </c>
      <c r="Q1327" s="461">
        <v>0</v>
      </c>
      <c r="R1327" s="461">
        <v>0</v>
      </c>
      <c r="S1327" s="461">
        <v>0</v>
      </c>
      <c r="T1327" s="461">
        <v>0</v>
      </c>
      <c r="U1327" s="461">
        <v>0</v>
      </c>
      <c r="V1327" s="461">
        <v>0</v>
      </c>
    </row>
    <row r="1328" spans="1:22" s="455" customFormat="1" hidden="1">
      <c r="A1328" s="455" t="str">
        <f t="shared" si="40"/>
        <v>19354001005011</v>
      </c>
      <c r="B1328" s="455" t="str">
        <f>VLOOKUP(LEFT($C$3:$C$2600,3),Table!$D$2:$E$88,2,FALSE)</f>
        <v>3rd Party Revenue</v>
      </c>
      <c r="C1328" s="455" t="str">
        <f t="shared" si="41"/>
        <v>4001005011</v>
      </c>
      <c r="D1328" s="455" t="e">
        <f>VLOOKUP(G1328,Table!$G$3:$H$21,2,FALSE)</f>
        <v>#N/A</v>
      </c>
      <c r="E1328" s="452" t="s">
        <v>902</v>
      </c>
      <c r="F1328" s="452" t="s">
        <v>1655</v>
      </c>
      <c r="G1328" s="452" t="s">
        <v>1656</v>
      </c>
      <c r="H1328" s="452" t="s">
        <v>1657</v>
      </c>
      <c r="I1328" s="453" t="s">
        <v>844</v>
      </c>
      <c r="J1328" s="453">
        <v>-292128.87</v>
      </c>
      <c r="K1328" s="461">
        <v>-51392.08</v>
      </c>
      <c r="L1328" s="461">
        <v>-155052.60999999999</v>
      </c>
      <c r="M1328" s="461">
        <v>-36869.120000000003</v>
      </c>
      <c r="N1328" s="461">
        <v>0</v>
      </c>
      <c r="O1328" s="461">
        <v>0</v>
      </c>
      <c r="P1328" s="461">
        <v>0</v>
      </c>
      <c r="Q1328" s="461">
        <v>0</v>
      </c>
      <c r="R1328" s="461">
        <v>0</v>
      </c>
      <c r="S1328" s="461">
        <v>0</v>
      </c>
      <c r="T1328" s="461">
        <v>0</v>
      </c>
      <c r="U1328" s="461">
        <v>0</v>
      </c>
      <c r="V1328" s="461">
        <v>0</v>
      </c>
    </row>
    <row r="1329" spans="1:22" s="455" customFormat="1" hidden="1">
      <c r="A1329" s="455" t="str">
        <f t="shared" si="40"/>
        <v>19354001010211</v>
      </c>
      <c r="B1329" s="455" t="str">
        <f>VLOOKUP(LEFT($C$3:$C$2600,3),Table!$D$2:$E$88,2,FALSE)</f>
        <v>3rd Party Revenue</v>
      </c>
      <c r="C1329" s="455" t="str">
        <f t="shared" si="41"/>
        <v>4001010211</v>
      </c>
      <c r="D1329" s="455" t="e">
        <f>VLOOKUP(G1329,Table!$G$3:$H$21,2,FALSE)</f>
        <v>#N/A</v>
      </c>
      <c r="E1329" s="452" t="s">
        <v>902</v>
      </c>
      <c r="F1329" s="452" t="s">
        <v>1655</v>
      </c>
      <c r="G1329" s="452" t="s">
        <v>1658</v>
      </c>
      <c r="H1329" s="452" t="s">
        <v>1659</v>
      </c>
      <c r="I1329" s="453" t="s">
        <v>844</v>
      </c>
      <c r="J1329" s="453">
        <v>-3792574.75</v>
      </c>
      <c r="K1329" s="461">
        <v>-1326291.44</v>
      </c>
      <c r="L1329" s="461">
        <v>-953072.68</v>
      </c>
      <c r="M1329" s="461">
        <v>-1204970.6499999999</v>
      </c>
      <c r="N1329" s="461">
        <v>0</v>
      </c>
      <c r="O1329" s="461">
        <v>0</v>
      </c>
      <c r="P1329" s="461">
        <v>0</v>
      </c>
      <c r="Q1329" s="461">
        <v>0</v>
      </c>
      <c r="R1329" s="461">
        <v>0</v>
      </c>
      <c r="S1329" s="461">
        <v>0</v>
      </c>
      <c r="T1329" s="461">
        <v>0</v>
      </c>
      <c r="U1329" s="461">
        <v>0</v>
      </c>
      <c r="V1329" s="461">
        <v>0</v>
      </c>
    </row>
    <row r="1330" spans="1:22" s="455" customFormat="1" hidden="1">
      <c r="A1330" s="455" t="str">
        <f t="shared" si="40"/>
        <v>19354001010311</v>
      </c>
      <c r="B1330" s="455" t="str">
        <f>VLOOKUP(LEFT($C$3:$C$2600,3),Table!$D$2:$E$88,2,FALSE)</f>
        <v>3rd Party Revenue</v>
      </c>
      <c r="C1330" s="455" t="str">
        <f t="shared" si="41"/>
        <v>4001010311</v>
      </c>
      <c r="D1330" s="455" t="e">
        <f>VLOOKUP(G1330,Table!$G$3:$H$21,2,FALSE)</f>
        <v>#N/A</v>
      </c>
      <c r="E1330" s="452" t="s">
        <v>902</v>
      </c>
      <c r="F1330" s="452" t="s">
        <v>1655</v>
      </c>
      <c r="G1330" s="452" t="s">
        <v>1660</v>
      </c>
      <c r="H1330" s="452" t="s">
        <v>1661</v>
      </c>
      <c r="I1330" s="453" t="s">
        <v>844</v>
      </c>
      <c r="J1330" s="453">
        <v>-221495.06</v>
      </c>
      <c r="K1330" s="461">
        <v>-148440.82999999999</v>
      </c>
      <c r="L1330" s="461">
        <v>-34555.980000000003</v>
      </c>
      <c r="M1330" s="461">
        <v>0</v>
      </c>
      <c r="N1330" s="461">
        <v>0</v>
      </c>
      <c r="O1330" s="461">
        <v>0</v>
      </c>
      <c r="P1330" s="461">
        <v>0</v>
      </c>
      <c r="Q1330" s="461">
        <v>0</v>
      </c>
      <c r="R1330" s="461">
        <v>0</v>
      </c>
      <c r="S1330" s="461">
        <v>0</v>
      </c>
      <c r="T1330" s="461">
        <v>0</v>
      </c>
      <c r="U1330" s="461">
        <v>0</v>
      </c>
      <c r="V1330" s="461">
        <v>0</v>
      </c>
    </row>
    <row r="1331" spans="1:22" s="455" customFormat="1" hidden="1">
      <c r="A1331" s="455" t="str">
        <f t="shared" si="40"/>
        <v>19354001030011</v>
      </c>
      <c r="B1331" s="455" t="str">
        <f>VLOOKUP(LEFT($C$3:$C$2600,3),Table!$D$2:$E$88,2,FALSE)</f>
        <v>3rd Party Revenue</v>
      </c>
      <c r="C1331" s="455" t="str">
        <f t="shared" si="41"/>
        <v>4001030011</v>
      </c>
      <c r="D1331" s="455" t="e">
        <f>VLOOKUP(G1331,Table!$G$3:$H$21,2,FALSE)</f>
        <v>#N/A</v>
      </c>
      <c r="E1331" s="452" t="s">
        <v>902</v>
      </c>
      <c r="F1331" s="452" t="s">
        <v>1655</v>
      </c>
      <c r="G1331" s="452" t="s">
        <v>1662</v>
      </c>
      <c r="H1331" s="452" t="s">
        <v>1663</v>
      </c>
      <c r="I1331" s="453" t="s">
        <v>844</v>
      </c>
      <c r="J1331" s="453">
        <v>-4324685.38</v>
      </c>
      <c r="K1331" s="461">
        <v>-646291.03</v>
      </c>
      <c r="L1331" s="461">
        <v>-1839962.84</v>
      </c>
      <c r="M1331" s="461">
        <v>-1333231.28</v>
      </c>
      <c r="N1331" s="461">
        <v>0</v>
      </c>
      <c r="O1331" s="461">
        <v>0</v>
      </c>
      <c r="P1331" s="461">
        <v>0</v>
      </c>
      <c r="Q1331" s="461">
        <v>0</v>
      </c>
      <c r="R1331" s="461">
        <v>0</v>
      </c>
      <c r="S1331" s="461">
        <v>0</v>
      </c>
      <c r="T1331" s="461">
        <v>0</v>
      </c>
      <c r="U1331" s="461">
        <v>0</v>
      </c>
      <c r="V1331" s="461">
        <v>0</v>
      </c>
    </row>
    <row r="1332" spans="1:22" s="455" customFormat="1" hidden="1">
      <c r="A1332" s="455" t="str">
        <f t="shared" si="40"/>
        <v>19354001030111</v>
      </c>
      <c r="B1332" s="455" t="str">
        <f>VLOOKUP(LEFT($C$3:$C$2600,3),Table!$D$2:$E$88,2,FALSE)</f>
        <v>3rd Party Revenue</v>
      </c>
      <c r="C1332" s="455" t="str">
        <f t="shared" si="41"/>
        <v>4001030111</v>
      </c>
      <c r="D1332" s="455" t="e">
        <f>VLOOKUP(G1332,Table!$G$3:$H$21,2,FALSE)</f>
        <v>#N/A</v>
      </c>
      <c r="E1332" s="452" t="s">
        <v>902</v>
      </c>
      <c r="F1332" s="452" t="s">
        <v>1655</v>
      </c>
      <c r="G1332" s="452" t="s">
        <v>1664</v>
      </c>
      <c r="H1332" s="452" t="s">
        <v>1665</v>
      </c>
      <c r="I1332" s="453" t="s">
        <v>844</v>
      </c>
      <c r="J1332" s="453">
        <v>-429928.71</v>
      </c>
      <c r="K1332" s="461">
        <v>-98020.4</v>
      </c>
      <c r="L1332" s="461">
        <v>-238586.92</v>
      </c>
      <c r="M1332" s="461">
        <v>-59803.11</v>
      </c>
      <c r="N1332" s="461">
        <v>0</v>
      </c>
      <c r="O1332" s="461">
        <v>0</v>
      </c>
      <c r="P1332" s="461">
        <v>0</v>
      </c>
      <c r="Q1332" s="461">
        <v>0</v>
      </c>
      <c r="R1332" s="461">
        <v>0</v>
      </c>
      <c r="S1332" s="461">
        <v>0</v>
      </c>
      <c r="T1332" s="461">
        <v>0</v>
      </c>
      <c r="U1332" s="461">
        <v>0</v>
      </c>
      <c r="V1332" s="461">
        <v>0</v>
      </c>
    </row>
    <row r="1333" spans="1:22" s="455" customFormat="1" hidden="1">
      <c r="A1333" s="455" t="str">
        <f t="shared" si="40"/>
        <v>19354001110011</v>
      </c>
      <c r="B1333" s="455" t="str">
        <f>VLOOKUP(LEFT($C$3:$C$2600,3),Table!$D$2:$E$88,2,FALSE)</f>
        <v>3rd Party Revenue</v>
      </c>
      <c r="C1333" s="455" t="str">
        <f t="shared" si="41"/>
        <v>4001110011</v>
      </c>
      <c r="D1333" s="455" t="e">
        <f>VLOOKUP(G1333,Table!$G$3:$H$21,2,FALSE)</f>
        <v>#N/A</v>
      </c>
      <c r="E1333" s="452" t="s">
        <v>902</v>
      </c>
      <c r="F1333" s="452" t="s">
        <v>1655</v>
      </c>
      <c r="G1333" s="452" t="s">
        <v>1666</v>
      </c>
      <c r="H1333" s="452" t="s">
        <v>1667</v>
      </c>
      <c r="I1333" s="453" t="s">
        <v>844</v>
      </c>
      <c r="J1333" s="453">
        <v>-935587.41</v>
      </c>
      <c r="K1333" s="461">
        <v>-634181.07999999996</v>
      </c>
      <c r="L1333" s="461">
        <v>-122381.24</v>
      </c>
      <c r="M1333" s="461">
        <v>-167896.77</v>
      </c>
      <c r="N1333" s="461">
        <v>0</v>
      </c>
      <c r="O1333" s="461">
        <v>0</v>
      </c>
      <c r="P1333" s="461">
        <v>0</v>
      </c>
      <c r="Q1333" s="461">
        <v>0</v>
      </c>
      <c r="R1333" s="461">
        <v>0</v>
      </c>
      <c r="S1333" s="461">
        <v>0</v>
      </c>
      <c r="T1333" s="461">
        <v>0</v>
      </c>
      <c r="U1333" s="461">
        <v>0</v>
      </c>
      <c r="V1333" s="461">
        <v>0</v>
      </c>
    </row>
    <row r="1334" spans="1:22" s="455" customFormat="1" hidden="1">
      <c r="A1334" s="455" t="str">
        <f t="shared" si="40"/>
        <v>19354001120011</v>
      </c>
      <c r="B1334" s="455" t="str">
        <f>VLOOKUP(LEFT($C$3:$C$2600,3),Table!$D$2:$E$88,2,FALSE)</f>
        <v>3rd Party Revenue</v>
      </c>
      <c r="C1334" s="455" t="str">
        <f t="shared" si="41"/>
        <v>4001120011</v>
      </c>
      <c r="D1334" s="455" t="e">
        <f>VLOOKUP(G1334,Table!$G$3:$H$21,2,FALSE)</f>
        <v>#N/A</v>
      </c>
      <c r="E1334" s="452" t="s">
        <v>902</v>
      </c>
      <c r="F1334" s="452" t="s">
        <v>1655</v>
      </c>
      <c r="G1334" s="452" t="s">
        <v>1668</v>
      </c>
      <c r="H1334" s="452" t="s">
        <v>1669</v>
      </c>
      <c r="I1334" s="453" t="s">
        <v>844</v>
      </c>
      <c r="J1334" s="453">
        <v>-327325.46000000002</v>
      </c>
      <c r="K1334" s="461">
        <v>-12757.18</v>
      </c>
      <c r="L1334" s="461">
        <v>-119214.27</v>
      </c>
      <c r="M1334" s="461">
        <v>-133362.87</v>
      </c>
      <c r="N1334" s="461">
        <v>0</v>
      </c>
      <c r="O1334" s="461">
        <v>0</v>
      </c>
      <c r="P1334" s="461">
        <v>0</v>
      </c>
      <c r="Q1334" s="461">
        <v>0</v>
      </c>
      <c r="R1334" s="461">
        <v>0</v>
      </c>
      <c r="S1334" s="461">
        <v>0</v>
      </c>
      <c r="T1334" s="461">
        <v>0</v>
      </c>
      <c r="U1334" s="461">
        <v>0</v>
      </c>
      <c r="V1334" s="461">
        <v>0</v>
      </c>
    </row>
    <row r="1335" spans="1:22" s="455" customFormat="1" hidden="1">
      <c r="A1335" s="455" t="str">
        <f t="shared" si="40"/>
        <v>19354001130011</v>
      </c>
      <c r="B1335" s="455" t="str">
        <f>VLOOKUP(LEFT($C$3:$C$2600,3),Table!$D$2:$E$88,2,FALSE)</f>
        <v>3rd Party Revenue</v>
      </c>
      <c r="C1335" s="455" t="str">
        <f t="shared" si="41"/>
        <v>4001130011</v>
      </c>
      <c r="D1335" s="455" t="e">
        <f>VLOOKUP(G1335,Table!$G$3:$H$21,2,FALSE)</f>
        <v>#N/A</v>
      </c>
      <c r="E1335" s="452" t="s">
        <v>902</v>
      </c>
      <c r="F1335" s="452" t="s">
        <v>1655</v>
      </c>
      <c r="G1335" s="452" t="s">
        <v>1670</v>
      </c>
      <c r="H1335" s="452" t="s">
        <v>1671</v>
      </c>
      <c r="I1335" s="453" t="s">
        <v>844</v>
      </c>
      <c r="J1335" s="453">
        <v>-410683.9</v>
      </c>
      <c r="K1335" s="461">
        <v>-52628.57</v>
      </c>
      <c r="L1335" s="461">
        <v>-129371.67</v>
      </c>
      <c r="M1335" s="461">
        <v>-91018.79</v>
      </c>
      <c r="N1335" s="461">
        <v>0</v>
      </c>
      <c r="O1335" s="461">
        <v>0</v>
      </c>
      <c r="P1335" s="461">
        <v>0</v>
      </c>
      <c r="Q1335" s="461">
        <v>0</v>
      </c>
      <c r="R1335" s="461">
        <v>0</v>
      </c>
      <c r="S1335" s="461">
        <v>0</v>
      </c>
      <c r="T1335" s="461">
        <v>0</v>
      </c>
      <c r="U1335" s="461">
        <v>0</v>
      </c>
      <c r="V1335" s="461">
        <v>0</v>
      </c>
    </row>
    <row r="1336" spans="1:22" s="455" customFormat="1" hidden="1">
      <c r="A1336" s="455" t="str">
        <f t="shared" si="40"/>
        <v>19354001140011</v>
      </c>
      <c r="B1336" s="455" t="str">
        <f>VLOOKUP(LEFT($C$3:$C$2600,3),Table!$D$2:$E$88,2,FALSE)</f>
        <v>3rd Party Revenue</v>
      </c>
      <c r="C1336" s="455" t="str">
        <f t="shared" si="41"/>
        <v>4001140011</v>
      </c>
      <c r="D1336" s="455" t="e">
        <f>VLOOKUP(G1336,Table!$G$3:$H$21,2,FALSE)</f>
        <v>#N/A</v>
      </c>
      <c r="E1336" s="452" t="s">
        <v>902</v>
      </c>
      <c r="F1336" s="452" t="s">
        <v>1655</v>
      </c>
      <c r="G1336" s="452" t="s">
        <v>1672</v>
      </c>
      <c r="H1336" s="452" t="s">
        <v>1673</v>
      </c>
      <c r="I1336" s="453" t="s">
        <v>844</v>
      </c>
      <c r="J1336" s="453">
        <v>-3499.4</v>
      </c>
      <c r="K1336" s="461">
        <v>-160</v>
      </c>
      <c r="L1336" s="461">
        <v>-2295</v>
      </c>
      <c r="M1336" s="461">
        <v>-1044.4000000000001</v>
      </c>
      <c r="N1336" s="461">
        <v>0</v>
      </c>
      <c r="O1336" s="461">
        <v>0</v>
      </c>
      <c r="P1336" s="461">
        <v>0</v>
      </c>
      <c r="Q1336" s="461">
        <v>0</v>
      </c>
      <c r="R1336" s="461">
        <v>0</v>
      </c>
      <c r="S1336" s="461">
        <v>0</v>
      </c>
      <c r="T1336" s="461">
        <v>0</v>
      </c>
      <c r="U1336" s="461">
        <v>0</v>
      </c>
      <c r="V1336" s="461">
        <v>0</v>
      </c>
    </row>
    <row r="1337" spans="1:22" s="455" customFormat="1" hidden="1">
      <c r="A1337" s="455" t="str">
        <f t="shared" si="40"/>
        <v>19354001510520</v>
      </c>
      <c r="B1337" s="455" t="str">
        <f>VLOOKUP(LEFT($C$3:$C$2600,3),Table!$D$2:$E$88,2,FALSE)</f>
        <v>3rd Party Revenue</v>
      </c>
      <c r="C1337" s="455" t="str">
        <f t="shared" si="41"/>
        <v>4001510520</v>
      </c>
      <c r="D1337" s="455" t="e">
        <f>VLOOKUP(G1337,Table!$G$3:$H$21,2,FALSE)</f>
        <v>#N/A</v>
      </c>
      <c r="E1337" s="452" t="s">
        <v>902</v>
      </c>
      <c r="F1337" s="452" t="s">
        <v>1655</v>
      </c>
      <c r="G1337" s="452" t="s">
        <v>1674</v>
      </c>
      <c r="H1337" s="452" t="s">
        <v>1675</v>
      </c>
      <c r="I1337" s="453" t="s">
        <v>844</v>
      </c>
      <c r="J1337" s="453">
        <v>-856793.93</v>
      </c>
      <c r="K1337" s="461">
        <v>-201740.97</v>
      </c>
      <c r="L1337" s="461">
        <v>-313546.78999999998</v>
      </c>
      <c r="M1337" s="461">
        <v>-257680.13</v>
      </c>
      <c r="N1337" s="461">
        <v>0</v>
      </c>
      <c r="O1337" s="461">
        <v>0</v>
      </c>
      <c r="P1337" s="461">
        <v>0</v>
      </c>
      <c r="Q1337" s="461">
        <v>0</v>
      </c>
      <c r="R1337" s="461">
        <v>0</v>
      </c>
      <c r="S1337" s="461">
        <v>0</v>
      </c>
      <c r="T1337" s="461">
        <v>0</v>
      </c>
      <c r="U1337" s="461">
        <v>0</v>
      </c>
      <c r="V1337" s="461">
        <v>0</v>
      </c>
    </row>
    <row r="1338" spans="1:22" s="455" customFormat="1" hidden="1">
      <c r="A1338" s="455" t="str">
        <f t="shared" si="40"/>
        <v>19354001610011</v>
      </c>
      <c r="B1338" s="455" t="str">
        <f>VLOOKUP(LEFT($C$3:$C$2600,3),Table!$D$2:$E$88,2,FALSE)</f>
        <v>3rd Party Revenue</v>
      </c>
      <c r="C1338" s="455" t="str">
        <f t="shared" si="41"/>
        <v>4001610011</v>
      </c>
      <c r="D1338" s="455" t="e">
        <f>VLOOKUP(G1338,Table!$G$3:$H$21,2,FALSE)</f>
        <v>#N/A</v>
      </c>
      <c r="E1338" s="452" t="s">
        <v>902</v>
      </c>
      <c r="F1338" s="452" t="s">
        <v>1655</v>
      </c>
      <c r="G1338" s="452" t="s">
        <v>1676</v>
      </c>
      <c r="H1338" s="452" t="s">
        <v>1677</v>
      </c>
      <c r="I1338" s="453" t="s">
        <v>844</v>
      </c>
      <c r="J1338" s="453">
        <v>-1995920.99</v>
      </c>
      <c r="K1338" s="461">
        <v>-920100.98</v>
      </c>
      <c r="L1338" s="461">
        <v>-519994.06</v>
      </c>
      <c r="M1338" s="461">
        <v>-298031.88</v>
      </c>
      <c r="N1338" s="461">
        <v>0</v>
      </c>
      <c r="O1338" s="461">
        <v>0</v>
      </c>
      <c r="P1338" s="461">
        <v>0</v>
      </c>
      <c r="Q1338" s="461">
        <v>0</v>
      </c>
      <c r="R1338" s="461">
        <v>0</v>
      </c>
      <c r="S1338" s="461">
        <v>0</v>
      </c>
      <c r="T1338" s="461">
        <v>0</v>
      </c>
      <c r="U1338" s="461">
        <v>0</v>
      </c>
      <c r="V1338" s="461">
        <v>0</v>
      </c>
    </row>
    <row r="1339" spans="1:22" s="455" customFormat="1" hidden="1">
      <c r="A1339" s="455" t="str">
        <f t="shared" si="40"/>
        <v>19354001610211</v>
      </c>
      <c r="B1339" s="455" t="str">
        <f>VLOOKUP(LEFT($C$3:$C$2600,3),Table!$D$2:$E$88,2,FALSE)</f>
        <v>3rd Party Revenue</v>
      </c>
      <c r="C1339" s="455" t="str">
        <f t="shared" si="41"/>
        <v>4001610211</v>
      </c>
      <c r="D1339" s="455" t="e">
        <f>VLOOKUP(G1339,Table!$G$3:$H$21,2,FALSE)</f>
        <v>#N/A</v>
      </c>
      <c r="E1339" s="452" t="s">
        <v>902</v>
      </c>
      <c r="F1339" s="452" t="s">
        <v>1655</v>
      </c>
      <c r="G1339" s="452" t="s">
        <v>1678</v>
      </c>
      <c r="H1339" s="452" t="s">
        <v>1679</v>
      </c>
      <c r="I1339" s="453" t="s">
        <v>844</v>
      </c>
      <c r="J1339" s="453">
        <v>-2301884.9</v>
      </c>
      <c r="K1339" s="461">
        <v>-788388.6</v>
      </c>
      <c r="L1339" s="461">
        <v>-685841.2</v>
      </c>
      <c r="M1339" s="461">
        <v>-480127.5</v>
      </c>
      <c r="N1339" s="461">
        <v>0</v>
      </c>
      <c r="O1339" s="461">
        <v>0</v>
      </c>
      <c r="P1339" s="461">
        <v>0</v>
      </c>
      <c r="Q1339" s="461">
        <v>0</v>
      </c>
      <c r="R1339" s="461">
        <v>0</v>
      </c>
      <c r="S1339" s="461">
        <v>0</v>
      </c>
      <c r="T1339" s="461">
        <v>0</v>
      </c>
      <c r="U1339" s="461">
        <v>0</v>
      </c>
      <c r="V1339" s="461">
        <v>0</v>
      </c>
    </row>
    <row r="1340" spans="1:22" s="455" customFormat="1" hidden="1">
      <c r="A1340" s="455" t="str">
        <f t="shared" si="40"/>
        <v>19354001610311</v>
      </c>
      <c r="B1340" s="455" t="str">
        <f>VLOOKUP(LEFT($C$3:$C$2600,3),Table!$D$2:$E$88,2,FALSE)</f>
        <v>3rd Party Revenue</v>
      </c>
      <c r="C1340" s="455" t="str">
        <f t="shared" si="41"/>
        <v>4001610311</v>
      </c>
      <c r="D1340" s="455" t="e">
        <f>VLOOKUP(G1340,Table!$G$3:$H$21,2,FALSE)</f>
        <v>#N/A</v>
      </c>
      <c r="E1340" s="452" t="s">
        <v>902</v>
      </c>
      <c r="F1340" s="452" t="s">
        <v>1655</v>
      </c>
      <c r="G1340" s="452" t="s">
        <v>1680</v>
      </c>
      <c r="H1340" s="452" t="s">
        <v>2574</v>
      </c>
      <c r="I1340" s="453" t="s">
        <v>844</v>
      </c>
      <c r="J1340" s="453">
        <v>-781765.26</v>
      </c>
      <c r="K1340" s="461">
        <v>-241507.9</v>
      </c>
      <c r="L1340" s="461">
        <v>-361734.66</v>
      </c>
      <c r="M1340" s="461">
        <v>-13090</v>
      </c>
      <c r="N1340" s="461">
        <v>0</v>
      </c>
      <c r="O1340" s="461">
        <v>0</v>
      </c>
      <c r="P1340" s="461">
        <v>0</v>
      </c>
      <c r="Q1340" s="461">
        <v>0</v>
      </c>
      <c r="R1340" s="461">
        <v>0</v>
      </c>
      <c r="S1340" s="461">
        <v>0</v>
      </c>
      <c r="T1340" s="461">
        <v>0</v>
      </c>
      <c r="U1340" s="461">
        <v>0</v>
      </c>
      <c r="V1340" s="461">
        <v>0</v>
      </c>
    </row>
    <row r="1341" spans="1:22" s="455" customFormat="1" hidden="1">
      <c r="A1341" s="455" t="str">
        <f t="shared" si="40"/>
        <v>19354001610611</v>
      </c>
      <c r="B1341" s="455" t="str">
        <f>VLOOKUP(LEFT($C$3:$C$2600,3),Table!$D$2:$E$88,2,FALSE)</f>
        <v>3rd Party Revenue</v>
      </c>
      <c r="C1341" s="455" t="str">
        <f t="shared" si="41"/>
        <v>4001610611</v>
      </c>
      <c r="D1341" s="455" t="e">
        <f>VLOOKUP(G1341,Table!$G$3:$H$21,2,FALSE)</f>
        <v>#N/A</v>
      </c>
      <c r="E1341" s="452" t="s">
        <v>902</v>
      </c>
      <c r="F1341" s="452" t="s">
        <v>1655</v>
      </c>
      <c r="G1341" s="452" t="s">
        <v>1681</v>
      </c>
      <c r="H1341" s="452" t="s">
        <v>1682</v>
      </c>
      <c r="I1341" s="453" t="s">
        <v>844</v>
      </c>
      <c r="J1341" s="453">
        <v>-249440.2</v>
      </c>
      <c r="K1341" s="461">
        <v>-231314.5</v>
      </c>
      <c r="L1341" s="461">
        <v>-5527.2</v>
      </c>
      <c r="M1341" s="461">
        <v>-5278.5</v>
      </c>
      <c r="N1341" s="461">
        <v>0</v>
      </c>
      <c r="O1341" s="461">
        <v>0</v>
      </c>
      <c r="P1341" s="461">
        <v>0</v>
      </c>
      <c r="Q1341" s="461">
        <v>0</v>
      </c>
      <c r="R1341" s="461">
        <v>0</v>
      </c>
      <c r="S1341" s="461">
        <v>0</v>
      </c>
      <c r="T1341" s="461">
        <v>0</v>
      </c>
      <c r="U1341" s="461">
        <v>0</v>
      </c>
      <c r="V1341" s="461">
        <v>0</v>
      </c>
    </row>
    <row r="1342" spans="1:22" s="455" customFormat="1" hidden="1">
      <c r="A1342" s="455" t="str">
        <f t="shared" si="40"/>
        <v>19354001610911</v>
      </c>
      <c r="B1342" s="455" t="str">
        <f>VLOOKUP(LEFT($C$3:$C$2600,3),Table!$D$2:$E$88,2,FALSE)</f>
        <v>3rd Party Revenue</v>
      </c>
      <c r="C1342" s="455" t="str">
        <f t="shared" si="41"/>
        <v>4001610911</v>
      </c>
      <c r="D1342" s="455" t="e">
        <f>VLOOKUP(G1342,Table!$G$3:$H$21,2,FALSE)</f>
        <v>#N/A</v>
      </c>
      <c r="E1342" s="452" t="s">
        <v>902</v>
      </c>
      <c r="F1342" s="452" t="s">
        <v>1655</v>
      </c>
      <c r="G1342" s="452" t="s">
        <v>1685</v>
      </c>
      <c r="H1342" s="452" t="s">
        <v>1686</v>
      </c>
      <c r="I1342" s="453" t="s">
        <v>844</v>
      </c>
      <c r="J1342" s="453">
        <v>-373501.8</v>
      </c>
      <c r="K1342" s="461">
        <v>-79828</v>
      </c>
      <c r="L1342" s="461">
        <v>-220750.6</v>
      </c>
      <c r="M1342" s="461">
        <v>-72923.199999999997</v>
      </c>
      <c r="N1342" s="461">
        <v>0</v>
      </c>
      <c r="O1342" s="461">
        <v>0</v>
      </c>
      <c r="P1342" s="461">
        <v>0</v>
      </c>
      <c r="Q1342" s="461">
        <v>0</v>
      </c>
      <c r="R1342" s="461">
        <v>0</v>
      </c>
      <c r="S1342" s="461">
        <v>0</v>
      </c>
      <c r="T1342" s="461">
        <v>0</v>
      </c>
      <c r="U1342" s="461">
        <v>0</v>
      </c>
      <c r="V1342" s="461">
        <v>0</v>
      </c>
    </row>
    <row r="1343" spans="1:22" s="455" customFormat="1" hidden="1">
      <c r="A1343" s="455" t="str">
        <f t="shared" si="40"/>
        <v>19354001611011</v>
      </c>
      <c r="B1343" s="455" t="str">
        <f>VLOOKUP(LEFT($C$3:$C$2600,3),Table!$D$2:$E$88,2,FALSE)</f>
        <v>3rd Party Revenue</v>
      </c>
      <c r="C1343" s="455" t="str">
        <f t="shared" si="41"/>
        <v>4001611011</v>
      </c>
      <c r="D1343" s="455" t="e">
        <f>VLOOKUP(G1343,Table!$G$3:$H$21,2,FALSE)</f>
        <v>#N/A</v>
      </c>
      <c r="E1343" s="452" t="s">
        <v>902</v>
      </c>
      <c r="F1343" s="452" t="s">
        <v>1655</v>
      </c>
      <c r="G1343" s="452" t="s">
        <v>1687</v>
      </c>
      <c r="H1343" s="452" t="s">
        <v>1688</v>
      </c>
      <c r="I1343" s="453" t="s">
        <v>844</v>
      </c>
      <c r="J1343" s="453">
        <v>-815212.6</v>
      </c>
      <c r="K1343" s="461">
        <v>-498069.1</v>
      </c>
      <c r="L1343" s="461">
        <v>-205176.2</v>
      </c>
      <c r="M1343" s="461">
        <v>-89213.5</v>
      </c>
      <c r="N1343" s="461">
        <v>0</v>
      </c>
      <c r="O1343" s="461">
        <v>0</v>
      </c>
      <c r="P1343" s="461">
        <v>0</v>
      </c>
      <c r="Q1343" s="461">
        <v>0</v>
      </c>
      <c r="R1343" s="461">
        <v>0</v>
      </c>
      <c r="S1343" s="461">
        <v>0</v>
      </c>
      <c r="T1343" s="461">
        <v>0</v>
      </c>
      <c r="U1343" s="461">
        <v>0</v>
      </c>
      <c r="V1343" s="461">
        <v>0</v>
      </c>
    </row>
    <row r="1344" spans="1:22" s="455" customFormat="1" hidden="1">
      <c r="A1344" s="455" t="str">
        <f t="shared" si="40"/>
        <v>19354011010211</v>
      </c>
      <c r="B1344" s="455" t="str">
        <f>VLOOKUP(LEFT($C$3:$C$2600,3),Table!$D$2:$E$88,2,FALSE)</f>
        <v>3rd Party Revenue</v>
      </c>
      <c r="C1344" s="455" t="str">
        <f t="shared" si="41"/>
        <v>4011010211</v>
      </c>
      <c r="D1344" s="455" t="e">
        <f>VLOOKUP(G1344,Table!$G$3:$H$21,2,FALSE)</f>
        <v>#N/A</v>
      </c>
      <c r="E1344" s="452" t="s">
        <v>902</v>
      </c>
      <c r="F1344" s="452" t="s">
        <v>1655</v>
      </c>
      <c r="G1344" s="452" t="s">
        <v>1689</v>
      </c>
      <c r="H1344" s="452" t="s">
        <v>1690</v>
      </c>
      <c r="I1344" s="453" t="s">
        <v>844</v>
      </c>
      <c r="J1344" s="453">
        <v>51136.2</v>
      </c>
      <c r="K1344" s="461">
        <v>6473.55</v>
      </c>
      <c r="L1344" s="461">
        <v>11910.17</v>
      </c>
      <c r="M1344" s="461">
        <v>15636.48</v>
      </c>
      <c r="N1344" s="461">
        <v>0</v>
      </c>
      <c r="O1344" s="461">
        <v>0</v>
      </c>
      <c r="P1344" s="461">
        <v>0</v>
      </c>
      <c r="Q1344" s="461">
        <v>0</v>
      </c>
      <c r="R1344" s="461">
        <v>0</v>
      </c>
      <c r="S1344" s="461">
        <v>0</v>
      </c>
      <c r="T1344" s="461">
        <v>0</v>
      </c>
      <c r="U1344" s="461">
        <v>0</v>
      </c>
      <c r="V1344" s="461">
        <v>0</v>
      </c>
    </row>
    <row r="1345" spans="1:22" s="455" customFormat="1" hidden="1">
      <c r="A1345" s="455" t="str">
        <f t="shared" si="40"/>
        <v>19354011030011</v>
      </c>
      <c r="B1345" s="455" t="str">
        <f>VLOOKUP(LEFT($C$3:$C$2600,3),Table!$D$2:$E$88,2,FALSE)</f>
        <v>3rd Party Revenue</v>
      </c>
      <c r="C1345" s="455" t="str">
        <f t="shared" si="41"/>
        <v>4011030011</v>
      </c>
      <c r="D1345" s="455" t="e">
        <f>VLOOKUP(G1345,Table!$G$3:$H$21,2,FALSE)</f>
        <v>#N/A</v>
      </c>
      <c r="E1345" s="452" t="s">
        <v>902</v>
      </c>
      <c r="F1345" s="452" t="s">
        <v>1655</v>
      </c>
      <c r="G1345" s="452" t="s">
        <v>1691</v>
      </c>
      <c r="H1345" s="452" t="s">
        <v>1692</v>
      </c>
      <c r="I1345" s="453" t="s">
        <v>844</v>
      </c>
      <c r="J1345" s="453">
        <v>670.2</v>
      </c>
      <c r="K1345" s="461">
        <v>583.29999999999995</v>
      </c>
      <c r="L1345" s="461">
        <v>38.4</v>
      </c>
      <c r="M1345" s="461">
        <v>48.5</v>
      </c>
      <c r="N1345" s="461">
        <v>0</v>
      </c>
      <c r="O1345" s="461">
        <v>0</v>
      </c>
      <c r="P1345" s="461">
        <v>0</v>
      </c>
      <c r="Q1345" s="461">
        <v>0</v>
      </c>
      <c r="R1345" s="461">
        <v>0</v>
      </c>
      <c r="S1345" s="461">
        <v>0</v>
      </c>
      <c r="T1345" s="461">
        <v>0</v>
      </c>
      <c r="U1345" s="461">
        <v>0</v>
      </c>
      <c r="V1345" s="461">
        <v>0</v>
      </c>
    </row>
    <row r="1346" spans="1:22" s="455" customFormat="1" hidden="1">
      <c r="A1346" s="455" t="str">
        <f t="shared" si="40"/>
        <v>19354011030111</v>
      </c>
      <c r="B1346" s="455" t="str">
        <f>VLOOKUP(LEFT($C$3:$C$2600,3),Table!$D$2:$E$88,2,FALSE)</f>
        <v>3rd Party Revenue</v>
      </c>
      <c r="C1346" s="455" t="str">
        <f t="shared" si="41"/>
        <v>4011030111</v>
      </c>
      <c r="D1346" s="455" t="e">
        <f>VLOOKUP(G1346,Table!$G$3:$H$21,2,FALSE)</f>
        <v>#N/A</v>
      </c>
      <c r="E1346" s="452" t="s">
        <v>902</v>
      </c>
      <c r="F1346" s="452" t="s">
        <v>1655</v>
      </c>
      <c r="G1346" s="452" t="s">
        <v>1693</v>
      </c>
      <c r="H1346" s="452" t="s">
        <v>1694</v>
      </c>
      <c r="I1346" s="453" t="s">
        <v>844</v>
      </c>
      <c r="J1346" s="453">
        <v>35972</v>
      </c>
      <c r="K1346" s="461">
        <v>35972</v>
      </c>
      <c r="L1346" s="461">
        <v>0</v>
      </c>
      <c r="M1346" s="461">
        <v>0</v>
      </c>
      <c r="N1346" s="461">
        <v>0</v>
      </c>
      <c r="O1346" s="461">
        <v>0</v>
      </c>
      <c r="P1346" s="461">
        <v>0</v>
      </c>
      <c r="Q1346" s="461">
        <v>0</v>
      </c>
      <c r="R1346" s="461">
        <v>0</v>
      </c>
      <c r="S1346" s="461">
        <v>0</v>
      </c>
      <c r="T1346" s="461">
        <v>0</v>
      </c>
      <c r="U1346" s="461">
        <v>0</v>
      </c>
      <c r="V1346" s="461">
        <v>0</v>
      </c>
    </row>
    <row r="1347" spans="1:22" s="455" customFormat="1" hidden="1">
      <c r="A1347" s="455" t="str">
        <f t="shared" si="40"/>
        <v>19354011110011</v>
      </c>
      <c r="B1347" s="455" t="str">
        <f>VLOOKUP(LEFT($C$3:$C$2600,3),Table!$D$2:$E$88,2,FALSE)</f>
        <v>3rd Party Revenue</v>
      </c>
      <c r="C1347" s="455" t="str">
        <f t="shared" si="41"/>
        <v>4011110011</v>
      </c>
      <c r="D1347" s="455" t="e">
        <f>VLOOKUP(G1347,Table!$G$3:$H$21,2,FALSE)</f>
        <v>#N/A</v>
      </c>
      <c r="E1347" s="452" t="s">
        <v>902</v>
      </c>
      <c r="F1347" s="452" t="s">
        <v>1655</v>
      </c>
      <c r="G1347" s="452" t="s">
        <v>2575</v>
      </c>
      <c r="H1347" s="452" t="s">
        <v>2576</v>
      </c>
      <c r="I1347" s="453" t="s">
        <v>844</v>
      </c>
      <c r="J1347" s="453">
        <v>20.2</v>
      </c>
      <c r="K1347" s="461">
        <v>0</v>
      </c>
      <c r="L1347" s="461">
        <v>0</v>
      </c>
      <c r="M1347" s="461">
        <v>20.2</v>
      </c>
      <c r="N1347" s="461">
        <v>0</v>
      </c>
      <c r="O1347" s="461">
        <v>0</v>
      </c>
      <c r="P1347" s="461">
        <v>0</v>
      </c>
      <c r="Q1347" s="461">
        <v>0</v>
      </c>
      <c r="R1347" s="461">
        <v>0</v>
      </c>
      <c r="S1347" s="461">
        <v>0</v>
      </c>
      <c r="T1347" s="461">
        <v>0</v>
      </c>
      <c r="U1347" s="461">
        <v>0</v>
      </c>
      <c r="V1347" s="461">
        <v>0</v>
      </c>
    </row>
    <row r="1348" spans="1:22" s="455" customFormat="1" hidden="1">
      <c r="A1348" s="455" t="str">
        <f t="shared" ref="A1348:A1411" si="42">F1348&amp;G1348</f>
        <v>19354011610011</v>
      </c>
      <c r="B1348" s="455" t="str">
        <f>VLOOKUP(LEFT($C$3:$C$2600,3),Table!$D$2:$E$88,2,FALSE)</f>
        <v>3rd Party Revenue</v>
      </c>
      <c r="C1348" s="455" t="str">
        <f t="shared" ref="C1348:C1411" si="43">IF(ISNA(D1348),G1348,D1348)</f>
        <v>4011610011</v>
      </c>
      <c r="D1348" s="455" t="e">
        <f>VLOOKUP(G1348,Table!$G$3:$H$21,2,FALSE)</f>
        <v>#N/A</v>
      </c>
      <c r="E1348" s="452" t="s">
        <v>902</v>
      </c>
      <c r="F1348" s="452" t="s">
        <v>1655</v>
      </c>
      <c r="G1348" s="452" t="s">
        <v>1697</v>
      </c>
      <c r="H1348" s="452" t="s">
        <v>1698</v>
      </c>
      <c r="I1348" s="453" t="s">
        <v>844</v>
      </c>
      <c r="J1348" s="453">
        <v>25977.599999999999</v>
      </c>
      <c r="K1348" s="461">
        <v>0</v>
      </c>
      <c r="L1348" s="461">
        <v>0</v>
      </c>
      <c r="M1348" s="461">
        <v>25977.599999999999</v>
      </c>
      <c r="N1348" s="461">
        <v>0</v>
      </c>
      <c r="O1348" s="461">
        <v>0</v>
      </c>
      <c r="P1348" s="461">
        <v>0</v>
      </c>
      <c r="Q1348" s="461">
        <v>0</v>
      </c>
      <c r="R1348" s="461">
        <v>0</v>
      </c>
      <c r="S1348" s="461">
        <v>0</v>
      </c>
      <c r="T1348" s="461">
        <v>0</v>
      </c>
      <c r="U1348" s="461">
        <v>0</v>
      </c>
      <c r="V1348" s="461">
        <v>0</v>
      </c>
    </row>
    <row r="1349" spans="1:22" s="455" customFormat="1" hidden="1">
      <c r="A1349" s="455" t="str">
        <f t="shared" si="42"/>
        <v>19354011610211</v>
      </c>
      <c r="B1349" s="455" t="str">
        <f>VLOOKUP(LEFT($C$3:$C$2600,3),Table!$D$2:$E$88,2,FALSE)</f>
        <v>3rd Party Revenue</v>
      </c>
      <c r="C1349" s="455" t="str">
        <f t="shared" si="43"/>
        <v>4011610211</v>
      </c>
      <c r="D1349" s="455" t="e">
        <f>VLOOKUP(G1349,Table!$G$3:$H$21,2,FALSE)</f>
        <v>#N/A</v>
      </c>
      <c r="E1349" s="452" t="s">
        <v>902</v>
      </c>
      <c r="F1349" s="452" t="s">
        <v>1655</v>
      </c>
      <c r="G1349" s="452" t="s">
        <v>1699</v>
      </c>
      <c r="H1349" s="452" t="s">
        <v>1700</v>
      </c>
      <c r="I1349" s="453" t="s">
        <v>844</v>
      </c>
      <c r="J1349" s="453">
        <v>83487.97</v>
      </c>
      <c r="K1349" s="461">
        <v>3764.04</v>
      </c>
      <c r="L1349" s="461">
        <v>63367.91</v>
      </c>
      <c r="M1349" s="461">
        <v>16356.02</v>
      </c>
      <c r="N1349" s="461">
        <v>0</v>
      </c>
      <c r="O1349" s="461">
        <v>0</v>
      </c>
      <c r="P1349" s="461">
        <v>0</v>
      </c>
      <c r="Q1349" s="461">
        <v>0</v>
      </c>
      <c r="R1349" s="461">
        <v>0</v>
      </c>
      <c r="S1349" s="461">
        <v>0</v>
      </c>
      <c r="T1349" s="461">
        <v>0</v>
      </c>
      <c r="U1349" s="461">
        <v>0</v>
      </c>
      <c r="V1349" s="461">
        <v>0</v>
      </c>
    </row>
    <row r="1350" spans="1:22" s="455" customFormat="1" hidden="1">
      <c r="A1350" s="455" t="str">
        <f t="shared" si="42"/>
        <v>19354011610311</v>
      </c>
      <c r="B1350" s="455" t="str">
        <f>VLOOKUP(LEFT($C$3:$C$2600,3),Table!$D$2:$E$88,2,FALSE)</f>
        <v>3rd Party Revenue</v>
      </c>
      <c r="C1350" s="455" t="str">
        <f t="shared" si="43"/>
        <v>4011610311</v>
      </c>
      <c r="D1350" s="455" t="e">
        <f>VLOOKUP(G1350,Table!$G$3:$H$21,2,FALSE)</f>
        <v>#N/A</v>
      </c>
      <c r="E1350" s="452" t="s">
        <v>902</v>
      </c>
      <c r="F1350" s="452" t="s">
        <v>1655</v>
      </c>
      <c r="G1350" s="452" t="s">
        <v>1701</v>
      </c>
      <c r="H1350" s="452" t="s">
        <v>2577</v>
      </c>
      <c r="I1350" s="453" t="s">
        <v>844</v>
      </c>
      <c r="J1350" s="453">
        <v>28</v>
      </c>
      <c r="K1350" s="461">
        <v>28</v>
      </c>
      <c r="L1350" s="461">
        <v>0</v>
      </c>
      <c r="M1350" s="461">
        <v>0</v>
      </c>
      <c r="N1350" s="461">
        <v>0</v>
      </c>
      <c r="O1350" s="461">
        <v>0</v>
      </c>
      <c r="P1350" s="461">
        <v>0</v>
      </c>
      <c r="Q1350" s="461">
        <v>0</v>
      </c>
      <c r="R1350" s="461">
        <v>0</v>
      </c>
      <c r="S1350" s="461">
        <v>0</v>
      </c>
      <c r="T1350" s="461">
        <v>0</v>
      </c>
      <c r="U1350" s="461">
        <v>0</v>
      </c>
      <c r="V1350" s="461">
        <v>0</v>
      </c>
    </row>
    <row r="1351" spans="1:22" s="455" customFormat="1" hidden="1">
      <c r="A1351" s="455" t="str">
        <f t="shared" si="42"/>
        <v>19354011610611</v>
      </c>
      <c r="B1351" s="455" t="str">
        <f>VLOOKUP(LEFT($C$3:$C$2600,3),Table!$D$2:$E$88,2,FALSE)</f>
        <v>3rd Party Revenue</v>
      </c>
      <c r="C1351" s="455" t="str">
        <f t="shared" si="43"/>
        <v>4011610611</v>
      </c>
      <c r="D1351" s="455" t="e">
        <f>VLOOKUP(G1351,Table!$G$3:$H$21,2,FALSE)</f>
        <v>#N/A</v>
      </c>
      <c r="E1351" s="452" t="s">
        <v>902</v>
      </c>
      <c r="F1351" s="452" t="s">
        <v>1655</v>
      </c>
      <c r="G1351" s="452" t="s">
        <v>1702</v>
      </c>
      <c r="H1351" s="452" t="s">
        <v>1703</v>
      </c>
      <c r="I1351" s="453" t="s">
        <v>844</v>
      </c>
      <c r="J1351" s="453">
        <v>2525.1999999999998</v>
      </c>
      <c r="K1351" s="461">
        <v>0</v>
      </c>
      <c r="L1351" s="461">
        <v>2525.1999999999998</v>
      </c>
      <c r="M1351" s="461">
        <v>0</v>
      </c>
      <c r="N1351" s="461">
        <v>0</v>
      </c>
      <c r="O1351" s="461">
        <v>0</v>
      </c>
      <c r="P1351" s="461">
        <v>0</v>
      </c>
      <c r="Q1351" s="461">
        <v>0</v>
      </c>
      <c r="R1351" s="461">
        <v>0</v>
      </c>
      <c r="S1351" s="461">
        <v>0</v>
      </c>
      <c r="T1351" s="461">
        <v>0</v>
      </c>
      <c r="U1351" s="461">
        <v>0</v>
      </c>
      <c r="V1351" s="461">
        <v>0</v>
      </c>
    </row>
    <row r="1352" spans="1:22" s="455" customFormat="1" hidden="1">
      <c r="A1352" s="455" t="str">
        <f t="shared" si="42"/>
        <v>19354011610911</v>
      </c>
      <c r="B1352" s="455" t="str">
        <f>VLOOKUP(LEFT($C$3:$C$2600,3),Table!$D$2:$E$88,2,FALSE)</f>
        <v>3rd Party Revenue</v>
      </c>
      <c r="C1352" s="455" t="str">
        <f t="shared" si="43"/>
        <v>4011610911</v>
      </c>
      <c r="D1352" s="455" t="e">
        <f>VLOOKUP(G1352,Table!$G$3:$H$21,2,FALSE)</f>
        <v>#N/A</v>
      </c>
      <c r="E1352" s="452" t="s">
        <v>902</v>
      </c>
      <c r="F1352" s="452" t="s">
        <v>1655</v>
      </c>
      <c r="G1352" s="452" t="s">
        <v>1704</v>
      </c>
      <c r="H1352" s="452" t="s">
        <v>1705</v>
      </c>
      <c r="I1352" s="453" t="s">
        <v>844</v>
      </c>
      <c r="J1352" s="453">
        <v>21737.4</v>
      </c>
      <c r="K1352" s="461">
        <v>4345.2</v>
      </c>
      <c r="L1352" s="461">
        <v>13290.2</v>
      </c>
      <c r="M1352" s="461">
        <v>4102</v>
      </c>
      <c r="N1352" s="461">
        <v>0</v>
      </c>
      <c r="O1352" s="461">
        <v>0</v>
      </c>
      <c r="P1352" s="461">
        <v>0</v>
      </c>
      <c r="Q1352" s="461">
        <v>0</v>
      </c>
      <c r="R1352" s="461">
        <v>0</v>
      </c>
      <c r="S1352" s="461">
        <v>0</v>
      </c>
      <c r="T1352" s="461">
        <v>0</v>
      </c>
      <c r="U1352" s="461">
        <v>0</v>
      </c>
      <c r="V1352" s="461">
        <v>0</v>
      </c>
    </row>
    <row r="1353" spans="1:22" s="455" customFormat="1" hidden="1">
      <c r="A1353" s="455" t="str">
        <f t="shared" si="42"/>
        <v>19354011611011</v>
      </c>
      <c r="B1353" s="455" t="str">
        <f>VLOOKUP(LEFT($C$3:$C$2600,3),Table!$D$2:$E$88,2,FALSE)</f>
        <v>3rd Party Revenue</v>
      </c>
      <c r="C1353" s="455" t="str">
        <f t="shared" si="43"/>
        <v>4011611011</v>
      </c>
      <c r="D1353" s="455" t="e">
        <f>VLOOKUP(G1353,Table!$G$3:$H$21,2,FALSE)</f>
        <v>#N/A</v>
      </c>
      <c r="E1353" s="452" t="s">
        <v>902</v>
      </c>
      <c r="F1353" s="452" t="s">
        <v>1655</v>
      </c>
      <c r="G1353" s="452" t="s">
        <v>1706</v>
      </c>
      <c r="H1353" s="452" t="s">
        <v>1707</v>
      </c>
      <c r="I1353" s="453" t="s">
        <v>844</v>
      </c>
      <c r="J1353" s="453">
        <v>77564.98</v>
      </c>
      <c r="K1353" s="461">
        <v>64612.2</v>
      </c>
      <c r="L1353" s="461">
        <v>12952.78</v>
      </c>
      <c r="M1353" s="461">
        <v>0</v>
      </c>
      <c r="N1353" s="461">
        <v>0</v>
      </c>
      <c r="O1353" s="461">
        <v>0</v>
      </c>
      <c r="P1353" s="461">
        <v>0</v>
      </c>
      <c r="Q1353" s="461">
        <v>0</v>
      </c>
      <c r="R1353" s="461">
        <v>0</v>
      </c>
      <c r="S1353" s="461">
        <v>0</v>
      </c>
      <c r="T1353" s="461">
        <v>0</v>
      </c>
      <c r="U1353" s="461">
        <v>0</v>
      </c>
      <c r="V1353" s="461">
        <v>0</v>
      </c>
    </row>
    <row r="1354" spans="1:22" s="455" customFormat="1" hidden="1">
      <c r="A1354" s="455" t="str">
        <f t="shared" si="42"/>
        <v>19354031005011</v>
      </c>
      <c r="B1354" s="455" t="str">
        <f>VLOOKUP(LEFT($C$3:$C$2600,3),Table!$D$2:$E$88,2,FALSE)</f>
        <v>3rd Party Revenue</v>
      </c>
      <c r="C1354" s="455" t="str">
        <f t="shared" si="43"/>
        <v>4031005011</v>
      </c>
      <c r="D1354" s="455" t="e">
        <f>VLOOKUP(G1354,Table!$G$3:$H$21,2,FALSE)</f>
        <v>#N/A</v>
      </c>
      <c r="E1354" s="452" t="s">
        <v>902</v>
      </c>
      <c r="F1354" s="452" t="s">
        <v>1655</v>
      </c>
      <c r="G1354" s="452" t="s">
        <v>1708</v>
      </c>
      <c r="H1354" s="452" t="s">
        <v>1709</v>
      </c>
      <c r="I1354" s="453" t="s">
        <v>844</v>
      </c>
      <c r="J1354" s="453">
        <v>1894.54</v>
      </c>
      <c r="K1354" s="461">
        <v>522.58000000000004</v>
      </c>
      <c r="L1354" s="461">
        <v>1023.72</v>
      </c>
      <c r="M1354" s="461">
        <v>348.24</v>
      </c>
      <c r="N1354" s="461">
        <v>0</v>
      </c>
      <c r="O1354" s="461">
        <v>0</v>
      </c>
      <c r="P1354" s="461">
        <v>0</v>
      </c>
      <c r="Q1354" s="461">
        <v>0</v>
      </c>
      <c r="R1354" s="461">
        <v>0</v>
      </c>
      <c r="S1354" s="461">
        <v>0</v>
      </c>
      <c r="T1354" s="461">
        <v>0</v>
      </c>
      <c r="U1354" s="461">
        <v>0</v>
      </c>
      <c r="V1354" s="461">
        <v>0</v>
      </c>
    </row>
    <row r="1355" spans="1:22" s="455" customFormat="1" hidden="1">
      <c r="A1355" s="455" t="str">
        <f t="shared" si="42"/>
        <v>19354031010211</v>
      </c>
      <c r="B1355" s="455" t="str">
        <f>VLOOKUP(LEFT($C$3:$C$2600,3),Table!$D$2:$E$88,2,FALSE)</f>
        <v>3rd Party Revenue</v>
      </c>
      <c r="C1355" s="455" t="str">
        <f t="shared" si="43"/>
        <v>4031010211</v>
      </c>
      <c r="D1355" s="455" t="e">
        <f>VLOOKUP(G1355,Table!$G$3:$H$21,2,FALSE)</f>
        <v>#N/A</v>
      </c>
      <c r="E1355" s="452" t="s">
        <v>902</v>
      </c>
      <c r="F1355" s="452" t="s">
        <v>1655</v>
      </c>
      <c r="G1355" s="452" t="s">
        <v>1710</v>
      </c>
      <c r="H1355" s="452" t="s">
        <v>1711</v>
      </c>
      <c r="I1355" s="453" t="s">
        <v>844</v>
      </c>
      <c r="J1355" s="453">
        <v>13031.68</v>
      </c>
      <c r="K1355" s="461">
        <v>5008.9799999999996</v>
      </c>
      <c r="L1355" s="461">
        <v>4174.49</v>
      </c>
      <c r="M1355" s="461">
        <v>3848.21</v>
      </c>
      <c r="N1355" s="461">
        <v>0</v>
      </c>
      <c r="O1355" s="461">
        <v>0</v>
      </c>
      <c r="P1355" s="461">
        <v>0</v>
      </c>
      <c r="Q1355" s="461">
        <v>0</v>
      </c>
      <c r="R1355" s="461">
        <v>0</v>
      </c>
      <c r="S1355" s="461">
        <v>0</v>
      </c>
      <c r="T1355" s="461">
        <v>0</v>
      </c>
      <c r="U1355" s="461">
        <v>0</v>
      </c>
      <c r="V1355" s="461">
        <v>0</v>
      </c>
    </row>
    <row r="1356" spans="1:22" s="455" customFormat="1" hidden="1">
      <c r="A1356" s="455" t="str">
        <f t="shared" si="42"/>
        <v>19354031010311</v>
      </c>
      <c r="B1356" s="455" t="str">
        <f>VLOOKUP(LEFT($C$3:$C$2600,3),Table!$D$2:$E$88,2,FALSE)</f>
        <v>3rd Party Revenue</v>
      </c>
      <c r="C1356" s="455" t="str">
        <f t="shared" si="43"/>
        <v>4031010311</v>
      </c>
      <c r="D1356" s="455" t="e">
        <f>VLOOKUP(G1356,Table!$G$3:$H$21,2,FALSE)</f>
        <v>#N/A</v>
      </c>
      <c r="E1356" s="452" t="s">
        <v>902</v>
      </c>
      <c r="F1356" s="452" t="s">
        <v>1655</v>
      </c>
      <c r="G1356" s="452" t="s">
        <v>1712</v>
      </c>
      <c r="H1356" s="452" t="s">
        <v>1713</v>
      </c>
      <c r="I1356" s="453" t="s">
        <v>844</v>
      </c>
      <c r="J1356" s="453">
        <v>796.27</v>
      </c>
      <c r="K1356" s="461">
        <v>625.37</v>
      </c>
      <c r="L1356" s="461">
        <v>170.9</v>
      </c>
      <c r="M1356" s="461">
        <v>0</v>
      </c>
      <c r="N1356" s="461">
        <v>0</v>
      </c>
      <c r="O1356" s="461">
        <v>0</v>
      </c>
      <c r="P1356" s="461">
        <v>0</v>
      </c>
      <c r="Q1356" s="461">
        <v>0</v>
      </c>
      <c r="R1356" s="461">
        <v>0</v>
      </c>
      <c r="S1356" s="461">
        <v>0</v>
      </c>
      <c r="T1356" s="461">
        <v>0</v>
      </c>
      <c r="U1356" s="461">
        <v>0</v>
      </c>
      <c r="V1356" s="461">
        <v>0</v>
      </c>
    </row>
    <row r="1357" spans="1:22" s="455" customFormat="1" hidden="1">
      <c r="A1357" s="455" t="str">
        <f t="shared" si="42"/>
        <v>19354031030011</v>
      </c>
      <c r="B1357" s="455" t="str">
        <f>VLOOKUP(LEFT($C$3:$C$2600,3),Table!$D$2:$E$88,2,FALSE)</f>
        <v>3rd Party Revenue</v>
      </c>
      <c r="C1357" s="455" t="str">
        <f t="shared" si="43"/>
        <v>4031030011</v>
      </c>
      <c r="D1357" s="455" t="e">
        <f>VLOOKUP(G1357,Table!$G$3:$H$21,2,FALSE)</f>
        <v>#N/A</v>
      </c>
      <c r="E1357" s="452" t="s">
        <v>902</v>
      </c>
      <c r="F1357" s="452" t="s">
        <v>1655</v>
      </c>
      <c r="G1357" s="452" t="s">
        <v>1714</v>
      </c>
      <c r="H1357" s="452" t="s">
        <v>1715</v>
      </c>
      <c r="I1357" s="453" t="s">
        <v>844</v>
      </c>
      <c r="J1357" s="453">
        <v>13823.67</v>
      </c>
      <c r="K1357" s="461">
        <v>2611.44</v>
      </c>
      <c r="L1357" s="461">
        <v>7617.95</v>
      </c>
      <c r="M1357" s="461">
        <v>3594.28</v>
      </c>
      <c r="N1357" s="461">
        <v>0</v>
      </c>
      <c r="O1357" s="461">
        <v>0</v>
      </c>
      <c r="P1357" s="461">
        <v>0</v>
      </c>
      <c r="Q1357" s="461">
        <v>0</v>
      </c>
      <c r="R1357" s="461">
        <v>0</v>
      </c>
      <c r="S1357" s="461">
        <v>0</v>
      </c>
      <c r="T1357" s="461">
        <v>0</v>
      </c>
      <c r="U1357" s="461">
        <v>0</v>
      </c>
      <c r="V1357" s="461">
        <v>0</v>
      </c>
    </row>
    <row r="1358" spans="1:22" s="455" customFormat="1" hidden="1">
      <c r="A1358" s="455" t="str">
        <f t="shared" si="42"/>
        <v>19354041005011</v>
      </c>
      <c r="B1358" s="455" t="str">
        <f>VLOOKUP(LEFT($C$3:$C$2600,3),Table!$D$2:$E$88,2,FALSE)</f>
        <v>Freight</v>
      </c>
      <c r="C1358" s="455" t="str">
        <f t="shared" si="43"/>
        <v>4041005011</v>
      </c>
      <c r="D1358" s="455" t="e">
        <f>VLOOKUP(G1358,Table!$G$3:$H$21,2,FALSE)</f>
        <v>#N/A</v>
      </c>
      <c r="E1358" s="452" t="s">
        <v>902</v>
      </c>
      <c r="F1358" s="452" t="s">
        <v>1655</v>
      </c>
      <c r="G1358" s="452" t="s">
        <v>1716</v>
      </c>
      <c r="H1358" s="452" t="s">
        <v>1717</v>
      </c>
      <c r="I1358" s="453" t="s">
        <v>844</v>
      </c>
      <c r="J1358" s="453">
        <v>1467.7</v>
      </c>
      <c r="K1358" s="461">
        <v>390.3</v>
      </c>
      <c r="L1358" s="461">
        <v>819.25</v>
      </c>
      <c r="M1358" s="461">
        <v>258.14999999999998</v>
      </c>
      <c r="N1358" s="461">
        <v>0</v>
      </c>
      <c r="O1358" s="461">
        <v>0</v>
      </c>
      <c r="P1358" s="461">
        <v>0</v>
      </c>
      <c r="Q1358" s="461">
        <v>0</v>
      </c>
      <c r="R1358" s="461">
        <v>0</v>
      </c>
      <c r="S1358" s="461">
        <v>0</v>
      </c>
      <c r="T1358" s="461">
        <v>0</v>
      </c>
      <c r="U1358" s="461">
        <v>0</v>
      </c>
      <c r="V1358" s="461">
        <v>0</v>
      </c>
    </row>
    <row r="1359" spans="1:22" s="455" customFormat="1" hidden="1">
      <c r="A1359" s="455" t="str">
        <f t="shared" si="42"/>
        <v>19354041010211</v>
      </c>
      <c r="B1359" s="455" t="str">
        <f>VLOOKUP(LEFT($C$3:$C$2600,3),Table!$D$2:$E$88,2,FALSE)</f>
        <v>Freight</v>
      </c>
      <c r="C1359" s="455" t="str">
        <f t="shared" si="43"/>
        <v>4041010211</v>
      </c>
      <c r="D1359" s="455" t="e">
        <f>VLOOKUP(G1359,Table!$G$3:$H$21,2,FALSE)</f>
        <v>#N/A</v>
      </c>
      <c r="E1359" s="452" t="s">
        <v>902</v>
      </c>
      <c r="F1359" s="452" t="s">
        <v>1655</v>
      </c>
      <c r="G1359" s="452" t="s">
        <v>1718</v>
      </c>
      <c r="H1359" s="452" t="s">
        <v>1719</v>
      </c>
      <c r="I1359" s="453" t="s">
        <v>844</v>
      </c>
      <c r="J1359" s="453">
        <v>21369.7</v>
      </c>
      <c r="K1359" s="461">
        <v>9010.2999999999993</v>
      </c>
      <c r="L1359" s="461">
        <v>5284.65</v>
      </c>
      <c r="M1359" s="461">
        <v>7074.75</v>
      </c>
      <c r="N1359" s="461">
        <v>0</v>
      </c>
      <c r="O1359" s="461">
        <v>0</v>
      </c>
      <c r="P1359" s="461">
        <v>0</v>
      </c>
      <c r="Q1359" s="461">
        <v>0</v>
      </c>
      <c r="R1359" s="461">
        <v>0</v>
      </c>
      <c r="S1359" s="461">
        <v>0</v>
      </c>
      <c r="T1359" s="461">
        <v>0</v>
      </c>
      <c r="U1359" s="461">
        <v>0</v>
      </c>
      <c r="V1359" s="461">
        <v>0</v>
      </c>
    </row>
    <row r="1360" spans="1:22" s="455" customFormat="1" hidden="1">
      <c r="A1360" s="455" t="str">
        <f t="shared" si="42"/>
        <v>19354041010311</v>
      </c>
      <c r="B1360" s="455" t="str">
        <f>VLOOKUP(LEFT($C$3:$C$2600,3),Table!$D$2:$E$88,2,FALSE)</f>
        <v>Freight</v>
      </c>
      <c r="C1360" s="455" t="str">
        <f t="shared" si="43"/>
        <v>4041010311</v>
      </c>
      <c r="D1360" s="455" t="e">
        <f>VLOOKUP(G1360,Table!$G$3:$H$21,2,FALSE)</f>
        <v>#N/A</v>
      </c>
      <c r="E1360" s="452" t="s">
        <v>902</v>
      </c>
      <c r="F1360" s="452" t="s">
        <v>1655</v>
      </c>
      <c r="G1360" s="452" t="s">
        <v>1720</v>
      </c>
      <c r="H1360" s="452" t="s">
        <v>1721</v>
      </c>
      <c r="I1360" s="453" t="s">
        <v>844</v>
      </c>
      <c r="J1360" s="453">
        <v>727</v>
      </c>
      <c r="K1360" s="461">
        <v>607.29999999999995</v>
      </c>
      <c r="L1360" s="461">
        <v>119.7</v>
      </c>
      <c r="M1360" s="461">
        <v>0</v>
      </c>
      <c r="N1360" s="461">
        <v>0</v>
      </c>
      <c r="O1360" s="461">
        <v>0</v>
      </c>
      <c r="P1360" s="461">
        <v>0</v>
      </c>
      <c r="Q1360" s="461">
        <v>0</v>
      </c>
      <c r="R1360" s="461">
        <v>0</v>
      </c>
      <c r="S1360" s="461">
        <v>0</v>
      </c>
      <c r="T1360" s="461">
        <v>0</v>
      </c>
      <c r="U1360" s="461">
        <v>0</v>
      </c>
      <c r="V1360" s="461">
        <v>0</v>
      </c>
    </row>
    <row r="1361" spans="1:22" s="455" customFormat="1" hidden="1">
      <c r="A1361" s="455" t="str">
        <f t="shared" si="42"/>
        <v>19354041030011</v>
      </c>
      <c r="B1361" s="455" t="str">
        <f>VLOOKUP(LEFT($C$3:$C$2600,3),Table!$D$2:$E$88,2,FALSE)</f>
        <v>Freight</v>
      </c>
      <c r="C1361" s="455" t="str">
        <f t="shared" si="43"/>
        <v>4041030011</v>
      </c>
      <c r="D1361" s="455" t="e">
        <f>VLOOKUP(G1361,Table!$G$3:$H$21,2,FALSE)</f>
        <v>#N/A</v>
      </c>
      <c r="E1361" s="452" t="s">
        <v>902</v>
      </c>
      <c r="F1361" s="452" t="s">
        <v>1655</v>
      </c>
      <c r="G1361" s="452" t="s">
        <v>1722</v>
      </c>
      <c r="H1361" s="452" t="s">
        <v>1723</v>
      </c>
      <c r="I1361" s="453" t="s">
        <v>844</v>
      </c>
      <c r="J1361" s="453">
        <v>33023.4</v>
      </c>
      <c r="K1361" s="461">
        <v>3880.3</v>
      </c>
      <c r="L1361" s="461">
        <v>10503.25</v>
      </c>
      <c r="M1361" s="461">
        <v>18639.849999999999</v>
      </c>
      <c r="N1361" s="461">
        <v>0</v>
      </c>
      <c r="O1361" s="461">
        <v>0</v>
      </c>
      <c r="P1361" s="461">
        <v>0</v>
      </c>
      <c r="Q1361" s="461">
        <v>0</v>
      </c>
      <c r="R1361" s="461">
        <v>0</v>
      </c>
      <c r="S1361" s="461">
        <v>0</v>
      </c>
      <c r="T1361" s="461">
        <v>0</v>
      </c>
      <c r="U1361" s="461">
        <v>0</v>
      </c>
      <c r="V1361" s="461">
        <v>0</v>
      </c>
    </row>
    <row r="1362" spans="1:22" s="455" customFormat="1" hidden="1">
      <c r="A1362" s="455" t="str">
        <f t="shared" si="42"/>
        <v>19354041030111</v>
      </c>
      <c r="B1362" s="455" t="str">
        <f>VLOOKUP(LEFT($C$3:$C$2600,3),Table!$D$2:$E$88,2,FALSE)</f>
        <v>Freight</v>
      </c>
      <c r="C1362" s="455" t="str">
        <f t="shared" si="43"/>
        <v>4041030111</v>
      </c>
      <c r="D1362" s="455" t="e">
        <f>VLOOKUP(G1362,Table!$G$3:$H$21,2,FALSE)</f>
        <v>#N/A</v>
      </c>
      <c r="E1362" s="452" t="s">
        <v>902</v>
      </c>
      <c r="F1362" s="452" t="s">
        <v>1655</v>
      </c>
      <c r="G1362" s="452" t="s">
        <v>1724</v>
      </c>
      <c r="H1362" s="452" t="s">
        <v>1725</v>
      </c>
      <c r="I1362" s="453" t="s">
        <v>844</v>
      </c>
      <c r="J1362" s="453">
        <v>2974.25</v>
      </c>
      <c r="K1362" s="461">
        <v>440.25</v>
      </c>
      <c r="L1362" s="461">
        <v>2019</v>
      </c>
      <c r="M1362" s="461">
        <v>515</v>
      </c>
      <c r="N1362" s="461">
        <v>0</v>
      </c>
      <c r="O1362" s="461">
        <v>0</v>
      </c>
      <c r="P1362" s="461">
        <v>0</v>
      </c>
      <c r="Q1362" s="461">
        <v>0</v>
      </c>
      <c r="R1362" s="461">
        <v>0</v>
      </c>
      <c r="S1362" s="461">
        <v>0</v>
      </c>
      <c r="T1362" s="461">
        <v>0</v>
      </c>
      <c r="U1362" s="461">
        <v>0</v>
      </c>
      <c r="V1362" s="461">
        <v>0</v>
      </c>
    </row>
    <row r="1363" spans="1:22" s="455" customFormat="1" hidden="1">
      <c r="A1363" s="455" t="str">
        <f t="shared" si="42"/>
        <v>19354041110011</v>
      </c>
      <c r="B1363" s="455" t="str">
        <f>VLOOKUP(LEFT($C$3:$C$2600,3),Table!$D$2:$E$88,2,FALSE)</f>
        <v>Freight</v>
      </c>
      <c r="C1363" s="455" t="str">
        <f t="shared" si="43"/>
        <v>4041110011</v>
      </c>
      <c r="D1363" s="455" t="e">
        <f>VLOOKUP(G1363,Table!$G$3:$H$21,2,FALSE)</f>
        <v>#N/A</v>
      </c>
      <c r="E1363" s="452" t="s">
        <v>902</v>
      </c>
      <c r="F1363" s="452" t="s">
        <v>1655</v>
      </c>
      <c r="G1363" s="452" t="s">
        <v>1726</v>
      </c>
      <c r="H1363" s="452" t="s">
        <v>1727</v>
      </c>
      <c r="I1363" s="453" t="s">
        <v>844</v>
      </c>
      <c r="J1363" s="453">
        <v>6055.1</v>
      </c>
      <c r="K1363" s="461">
        <v>3448.1</v>
      </c>
      <c r="L1363" s="461">
        <v>1595.8</v>
      </c>
      <c r="M1363" s="461">
        <v>1011.2</v>
      </c>
      <c r="N1363" s="461">
        <v>0</v>
      </c>
      <c r="O1363" s="461">
        <v>0</v>
      </c>
      <c r="P1363" s="461">
        <v>0</v>
      </c>
      <c r="Q1363" s="461">
        <v>0</v>
      </c>
      <c r="R1363" s="461">
        <v>0</v>
      </c>
      <c r="S1363" s="461">
        <v>0</v>
      </c>
      <c r="T1363" s="461">
        <v>0</v>
      </c>
      <c r="U1363" s="461">
        <v>0</v>
      </c>
      <c r="V1363" s="461">
        <v>0</v>
      </c>
    </row>
    <row r="1364" spans="1:22" s="455" customFormat="1" hidden="1">
      <c r="A1364" s="455" t="str">
        <f t="shared" si="42"/>
        <v>19354041120011</v>
      </c>
      <c r="B1364" s="455" t="str">
        <f>VLOOKUP(LEFT($C$3:$C$2600,3),Table!$D$2:$E$88,2,FALSE)</f>
        <v>Freight</v>
      </c>
      <c r="C1364" s="455" t="str">
        <f t="shared" si="43"/>
        <v>4041120011</v>
      </c>
      <c r="D1364" s="455" t="e">
        <f>VLOOKUP(G1364,Table!$G$3:$H$21,2,FALSE)</f>
        <v>#N/A</v>
      </c>
      <c r="E1364" s="452" t="s">
        <v>902</v>
      </c>
      <c r="F1364" s="452" t="s">
        <v>1655</v>
      </c>
      <c r="G1364" s="452" t="s">
        <v>1728</v>
      </c>
      <c r="H1364" s="452" t="s">
        <v>1729</v>
      </c>
      <c r="I1364" s="453" t="s">
        <v>844</v>
      </c>
      <c r="J1364" s="453">
        <v>2328.85</v>
      </c>
      <c r="K1364" s="461">
        <v>56.85</v>
      </c>
      <c r="L1364" s="461">
        <v>613.54999999999995</v>
      </c>
      <c r="M1364" s="461">
        <v>1658.45</v>
      </c>
      <c r="N1364" s="461">
        <v>0</v>
      </c>
      <c r="O1364" s="461">
        <v>0</v>
      </c>
      <c r="P1364" s="461">
        <v>0</v>
      </c>
      <c r="Q1364" s="461">
        <v>0</v>
      </c>
      <c r="R1364" s="461">
        <v>0</v>
      </c>
      <c r="S1364" s="461">
        <v>0</v>
      </c>
      <c r="T1364" s="461">
        <v>0</v>
      </c>
      <c r="U1364" s="461">
        <v>0</v>
      </c>
      <c r="V1364" s="461">
        <v>0</v>
      </c>
    </row>
    <row r="1365" spans="1:22" s="455" customFormat="1" hidden="1">
      <c r="A1365" s="455" t="str">
        <f t="shared" si="42"/>
        <v>19354041130011</v>
      </c>
      <c r="B1365" s="455" t="str">
        <f>VLOOKUP(LEFT($C$3:$C$2600,3),Table!$D$2:$E$88,2,FALSE)</f>
        <v>Freight</v>
      </c>
      <c r="C1365" s="455" t="str">
        <f t="shared" si="43"/>
        <v>4041130011</v>
      </c>
      <c r="D1365" s="455" t="e">
        <f>VLOOKUP(G1365,Table!$G$3:$H$21,2,FALSE)</f>
        <v>#N/A</v>
      </c>
      <c r="E1365" s="452" t="s">
        <v>902</v>
      </c>
      <c r="F1365" s="452" t="s">
        <v>1655</v>
      </c>
      <c r="G1365" s="452" t="s">
        <v>1730</v>
      </c>
      <c r="H1365" s="452" t="s">
        <v>1731</v>
      </c>
      <c r="I1365" s="453" t="s">
        <v>844</v>
      </c>
      <c r="J1365" s="453">
        <v>2109.9</v>
      </c>
      <c r="K1365" s="461">
        <v>358.2</v>
      </c>
      <c r="L1365" s="461">
        <v>1220.5999999999999</v>
      </c>
      <c r="M1365" s="461">
        <v>531.1</v>
      </c>
      <c r="N1365" s="461">
        <v>0</v>
      </c>
      <c r="O1365" s="461">
        <v>0</v>
      </c>
      <c r="P1365" s="461">
        <v>0</v>
      </c>
      <c r="Q1365" s="461">
        <v>0</v>
      </c>
      <c r="R1365" s="461">
        <v>0</v>
      </c>
      <c r="S1365" s="461">
        <v>0</v>
      </c>
      <c r="T1365" s="461">
        <v>0</v>
      </c>
      <c r="U1365" s="461">
        <v>0</v>
      </c>
      <c r="V1365" s="461">
        <v>0</v>
      </c>
    </row>
    <row r="1366" spans="1:22" s="455" customFormat="1" hidden="1">
      <c r="A1366" s="455" t="str">
        <f t="shared" si="42"/>
        <v>19354041140011</v>
      </c>
      <c r="B1366" s="455" t="str">
        <f>VLOOKUP(LEFT($C$3:$C$2600,3),Table!$D$2:$E$88,2,FALSE)</f>
        <v>Freight</v>
      </c>
      <c r="C1366" s="455" t="str">
        <f t="shared" si="43"/>
        <v>4041140011</v>
      </c>
      <c r="D1366" s="455" t="e">
        <f>VLOOKUP(G1366,Table!$G$3:$H$21,2,FALSE)</f>
        <v>#N/A</v>
      </c>
      <c r="E1366" s="452" t="s">
        <v>902</v>
      </c>
      <c r="F1366" s="452" t="s">
        <v>1655</v>
      </c>
      <c r="G1366" s="452" t="s">
        <v>1732</v>
      </c>
      <c r="H1366" s="452" t="s">
        <v>1733</v>
      </c>
      <c r="I1366" s="453" t="s">
        <v>844</v>
      </c>
      <c r="J1366" s="453">
        <v>37.25</v>
      </c>
      <c r="K1366" s="461">
        <v>0.7</v>
      </c>
      <c r="L1366" s="461">
        <v>10.5</v>
      </c>
      <c r="M1366" s="461">
        <v>26.05</v>
      </c>
      <c r="N1366" s="461">
        <v>0</v>
      </c>
      <c r="O1366" s="461">
        <v>0</v>
      </c>
      <c r="P1366" s="461">
        <v>0</v>
      </c>
      <c r="Q1366" s="461">
        <v>0</v>
      </c>
      <c r="R1366" s="461">
        <v>0</v>
      </c>
      <c r="S1366" s="461">
        <v>0</v>
      </c>
      <c r="T1366" s="461">
        <v>0</v>
      </c>
      <c r="U1366" s="461">
        <v>0</v>
      </c>
      <c r="V1366" s="461">
        <v>0</v>
      </c>
    </row>
    <row r="1367" spans="1:22" s="455" customFormat="1" hidden="1">
      <c r="A1367" s="455" t="str">
        <f t="shared" si="42"/>
        <v>19354041510520</v>
      </c>
      <c r="B1367" s="455" t="str">
        <f>VLOOKUP(LEFT($C$3:$C$2600,3),Table!$D$2:$E$88,2,FALSE)</f>
        <v>Freight</v>
      </c>
      <c r="C1367" s="455" t="str">
        <f t="shared" si="43"/>
        <v>4041510520</v>
      </c>
      <c r="D1367" s="455" t="e">
        <f>VLOOKUP(G1367,Table!$G$3:$H$21,2,FALSE)</f>
        <v>#N/A</v>
      </c>
      <c r="E1367" s="452" t="s">
        <v>902</v>
      </c>
      <c r="F1367" s="452" t="s">
        <v>1655</v>
      </c>
      <c r="G1367" s="452" t="s">
        <v>1734</v>
      </c>
      <c r="H1367" s="452" t="s">
        <v>1735</v>
      </c>
      <c r="I1367" s="453" t="s">
        <v>844</v>
      </c>
      <c r="J1367" s="453">
        <v>2675</v>
      </c>
      <c r="K1367" s="461">
        <v>670.6</v>
      </c>
      <c r="L1367" s="461">
        <v>1146.3499999999999</v>
      </c>
      <c r="M1367" s="461">
        <v>858.05</v>
      </c>
      <c r="N1367" s="461">
        <v>0</v>
      </c>
      <c r="O1367" s="461">
        <v>0</v>
      </c>
      <c r="P1367" s="461">
        <v>0</v>
      </c>
      <c r="Q1367" s="461">
        <v>0</v>
      </c>
      <c r="R1367" s="461">
        <v>0</v>
      </c>
      <c r="S1367" s="461">
        <v>0</v>
      </c>
      <c r="T1367" s="461">
        <v>0</v>
      </c>
      <c r="U1367" s="461">
        <v>0</v>
      </c>
      <c r="V1367" s="461">
        <v>0</v>
      </c>
    </row>
    <row r="1368" spans="1:22" s="455" customFormat="1" hidden="1">
      <c r="A1368" s="455" t="str">
        <f t="shared" si="42"/>
        <v>19354041610011</v>
      </c>
      <c r="B1368" s="455" t="str">
        <f>VLOOKUP(LEFT($C$3:$C$2600,3),Table!$D$2:$E$88,2,FALSE)</f>
        <v>Freight</v>
      </c>
      <c r="C1368" s="455" t="str">
        <f t="shared" si="43"/>
        <v>4041610011</v>
      </c>
      <c r="D1368" s="455" t="e">
        <f>VLOOKUP(G1368,Table!$G$3:$H$21,2,FALSE)</f>
        <v>#N/A</v>
      </c>
      <c r="E1368" s="452" t="s">
        <v>902</v>
      </c>
      <c r="F1368" s="452" t="s">
        <v>1655</v>
      </c>
      <c r="G1368" s="452" t="s">
        <v>1736</v>
      </c>
      <c r="H1368" s="452" t="s">
        <v>1737</v>
      </c>
      <c r="I1368" s="453" t="s">
        <v>844</v>
      </c>
      <c r="J1368" s="453">
        <v>11743.2</v>
      </c>
      <c r="K1368" s="461">
        <v>6230</v>
      </c>
      <c r="L1368" s="461">
        <v>3523.8</v>
      </c>
      <c r="M1368" s="461">
        <v>1989.4</v>
      </c>
      <c r="N1368" s="461">
        <v>0</v>
      </c>
      <c r="O1368" s="461">
        <v>0</v>
      </c>
      <c r="P1368" s="461">
        <v>0</v>
      </c>
      <c r="Q1368" s="461">
        <v>0</v>
      </c>
      <c r="R1368" s="461">
        <v>0</v>
      </c>
      <c r="S1368" s="461">
        <v>0</v>
      </c>
      <c r="T1368" s="461">
        <v>0</v>
      </c>
      <c r="U1368" s="461">
        <v>0</v>
      </c>
      <c r="V1368" s="461">
        <v>0</v>
      </c>
    </row>
    <row r="1369" spans="1:22" s="455" customFormat="1" hidden="1">
      <c r="A1369" s="455" t="str">
        <f t="shared" si="42"/>
        <v>19354041610211</v>
      </c>
      <c r="B1369" s="455" t="str">
        <f>VLOOKUP(LEFT($C$3:$C$2600,3),Table!$D$2:$E$88,2,FALSE)</f>
        <v>Freight</v>
      </c>
      <c r="C1369" s="455" t="str">
        <f t="shared" si="43"/>
        <v>4041610211</v>
      </c>
      <c r="D1369" s="455" t="e">
        <f>VLOOKUP(G1369,Table!$G$3:$H$21,2,FALSE)</f>
        <v>#N/A</v>
      </c>
      <c r="E1369" s="452" t="s">
        <v>902</v>
      </c>
      <c r="F1369" s="452" t="s">
        <v>1655</v>
      </c>
      <c r="G1369" s="452" t="s">
        <v>1738</v>
      </c>
      <c r="H1369" s="452" t="s">
        <v>1739</v>
      </c>
      <c r="I1369" s="453" t="s">
        <v>844</v>
      </c>
      <c r="J1369" s="453">
        <v>4245.05</v>
      </c>
      <c r="K1369" s="461">
        <v>1817.3</v>
      </c>
      <c r="L1369" s="461">
        <v>1450.6</v>
      </c>
      <c r="M1369" s="461">
        <v>977.15</v>
      </c>
      <c r="N1369" s="461">
        <v>0</v>
      </c>
      <c r="O1369" s="461">
        <v>0</v>
      </c>
      <c r="P1369" s="461">
        <v>0</v>
      </c>
      <c r="Q1369" s="461">
        <v>0</v>
      </c>
      <c r="R1369" s="461">
        <v>0</v>
      </c>
      <c r="S1369" s="461">
        <v>0</v>
      </c>
      <c r="T1369" s="461">
        <v>0</v>
      </c>
      <c r="U1369" s="461">
        <v>0</v>
      </c>
      <c r="V1369" s="461">
        <v>0</v>
      </c>
    </row>
    <row r="1370" spans="1:22" s="455" customFormat="1" hidden="1">
      <c r="A1370" s="455" t="str">
        <f t="shared" si="42"/>
        <v>19354041610311</v>
      </c>
      <c r="B1370" s="455" t="str">
        <f>VLOOKUP(LEFT($C$3:$C$2600,3),Table!$D$2:$E$88,2,FALSE)</f>
        <v>Freight</v>
      </c>
      <c r="C1370" s="455" t="str">
        <f t="shared" si="43"/>
        <v>4041610311</v>
      </c>
      <c r="D1370" s="455" t="e">
        <f>VLOOKUP(G1370,Table!$G$3:$H$21,2,FALSE)</f>
        <v>#N/A</v>
      </c>
      <c r="E1370" s="452" t="s">
        <v>902</v>
      </c>
      <c r="F1370" s="452" t="s">
        <v>1655</v>
      </c>
      <c r="G1370" s="452" t="s">
        <v>1740</v>
      </c>
      <c r="H1370" s="452" t="s">
        <v>2578</v>
      </c>
      <c r="I1370" s="453" t="s">
        <v>844</v>
      </c>
      <c r="J1370" s="453">
        <v>2902.8</v>
      </c>
      <c r="K1370" s="461">
        <v>970.2</v>
      </c>
      <c r="L1370" s="461">
        <v>1899.7</v>
      </c>
      <c r="M1370" s="461">
        <v>32.9</v>
      </c>
      <c r="N1370" s="461">
        <v>0</v>
      </c>
      <c r="O1370" s="461">
        <v>0</v>
      </c>
      <c r="P1370" s="461">
        <v>0</v>
      </c>
      <c r="Q1370" s="461">
        <v>0</v>
      </c>
      <c r="R1370" s="461">
        <v>0</v>
      </c>
      <c r="S1370" s="461">
        <v>0</v>
      </c>
      <c r="T1370" s="461">
        <v>0</v>
      </c>
      <c r="U1370" s="461">
        <v>0</v>
      </c>
      <c r="V1370" s="461">
        <v>0</v>
      </c>
    </row>
    <row r="1371" spans="1:22" s="455" customFormat="1" hidden="1">
      <c r="A1371" s="455" t="str">
        <f t="shared" si="42"/>
        <v>19354041610611</v>
      </c>
      <c r="B1371" s="455" t="str">
        <f>VLOOKUP(LEFT($C$3:$C$2600,3),Table!$D$2:$E$88,2,FALSE)</f>
        <v>Freight</v>
      </c>
      <c r="C1371" s="455" t="str">
        <f t="shared" si="43"/>
        <v>4041610611</v>
      </c>
      <c r="D1371" s="455" t="e">
        <f>VLOOKUP(G1371,Table!$G$3:$H$21,2,FALSE)</f>
        <v>#N/A</v>
      </c>
      <c r="E1371" s="452" t="s">
        <v>902</v>
      </c>
      <c r="F1371" s="452" t="s">
        <v>1655</v>
      </c>
      <c r="G1371" s="452" t="s">
        <v>1741</v>
      </c>
      <c r="H1371" s="452" t="s">
        <v>1742</v>
      </c>
      <c r="I1371" s="453" t="s">
        <v>844</v>
      </c>
      <c r="J1371" s="453">
        <v>1372.05</v>
      </c>
      <c r="K1371" s="461">
        <v>1331.1</v>
      </c>
      <c r="L1371" s="461">
        <v>13.65</v>
      </c>
      <c r="M1371" s="461">
        <v>27.3</v>
      </c>
      <c r="N1371" s="461">
        <v>0</v>
      </c>
      <c r="O1371" s="461">
        <v>0</v>
      </c>
      <c r="P1371" s="461">
        <v>0</v>
      </c>
      <c r="Q1371" s="461">
        <v>0</v>
      </c>
      <c r="R1371" s="461">
        <v>0</v>
      </c>
      <c r="S1371" s="461">
        <v>0</v>
      </c>
      <c r="T1371" s="461">
        <v>0</v>
      </c>
      <c r="U1371" s="461">
        <v>0</v>
      </c>
      <c r="V1371" s="461">
        <v>0</v>
      </c>
    </row>
    <row r="1372" spans="1:22" s="455" customFormat="1" hidden="1">
      <c r="A1372" s="455" t="str">
        <f t="shared" si="42"/>
        <v>19354041610911</v>
      </c>
      <c r="B1372" s="455" t="str">
        <f>VLOOKUP(LEFT($C$3:$C$2600,3),Table!$D$2:$E$88,2,FALSE)</f>
        <v>Freight</v>
      </c>
      <c r="C1372" s="455" t="str">
        <f t="shared" si="43"/>
        <v>4041610911</v>
      </c>
      <c r="D1372" s="455" t="e">
        <f>VLOOKUP(G1372,Table!$G$3:$H$21,2,FALSE)</f>
        <v>#N/A</v>
      </c>
      <c r="E1372" s="452" t="s">
        <v>902</v>
      </c>
      <c r="F1372" s="452" t="s">
        <v>1655</v>
      </c>
      <c r="G1372" s="452" t="s">
        <v>1745</v>
      </c>
      <c r="H1372" s="452" t="s">
        <v>1746</v>
      </c>
      <c r="I1372" s="453" t="s">
        <v>844</v>
      </c>
      <c r="J1372" s="453">
        <v>1608.05</v>
      </c>
      <c r="K1372" s="461">
        <v>466</v>
      </c>
      <c r="L1372" s="461">
        <v>954.1</v>
      </c>
      <c r="M1372" s="461">
        <v>187.95</v>
      </c>
      <c r="N1372" s="461">
        <v>0</v>
      </c>
      <c r="O1372" s="461">
        <v>0</v>
      </c>
      <c r="P1372" s="461">
        <v>0</v>
      </c>
      <c r="Q1372" s="461">
        <v>0</v>
      </c>
      <c r="R1372" s="461">
        <v>0</v>
      </c>
      <c r="S1372" s="461">
        <v>0</v>
      </c>
      <c r="T1372" s="461">
        <v>0</v>
      </c>
      <c r="U1372" s="461">
        <v>0</v>
      </c>
      <c r="V1372" s="461">
        <v>0</v>
      </c>
    </row>
    <row r="1373" spans="1:22" s="455" customFormat="1" hidden="1">
      <c r="A1373" s="455" t="str">
        <f t="shared" si="42"/>
        <v>19354041611011</v>
      </c>
      <c r="B1373" s="455" t="str">
        <f>VLOOKUP(LEFT($C$3:$C$2600,3),Table!$D$2:$E$88,2,FALSE)</f>
        <v>Freight</v>
      </c>
      <c r="C1373" s="455" t="str">
        <f t="shared" si="43"/>
        <v>4041611011</v>
      </c>
      <c r="D1373" s="455" t="e">
        <f>VLOOKUP(G1373,Table!$G$3:$H$21,2,FALSE)</f>
        <v>#N/A</v>
      </c>
      <c r="E1373" s="452" t="s">
        <v>902</v>
      </c>
      <c r="F1373" s="452" t="s">
        <v>1655</v>
      </c>
      <c r="G1373" s="452" t="s">
        <v>1747</v>
      </c>
      <c r="H1373" s="452" t="s">
        <v>1748</v>
      </c>
      <c r="I1373" s="453" t="s">
        <v>844</v>
      </c>
      <c r="J1373" s="453">
        <v>4084.2</v>
      </c>
      <c r="K1373" s="461">
        <v>2645.15</v>
      </c>
      <c r="L1373" s="461">
        <v>1028.8</v>
      </c>
      <c r="M1373" s="461">
        <v>410.25</v>
      </c>
      <c r="N1373" s="461">
        <v>0</v>
      </c>
      <c r="O1373" s="461">
        <v>0</v>
      </c>
      <c r="P1373" s="461">
        <v>0</v>
      </c>
      <c r="Q1373" s="461">
        <v>0</v>
      </c>
      <c r="R1373" s="461">
        <v>0</v>
      </c>
      <c r="S1373" s="461">
        <v>0</v>
      </c>
      <c r="T1373" s="461">
        <v>0</v>
      </c>
      <c r="U1373" s="461">
        <v>0</v>
      </c>
      <c r="V1373" s="461">
        <v>0</v>
      </c>
    </row>
    <row r="1374" spans="1:22" s="455" customFormat="1" hidden="1">
      <c r="A1374" s="455" t="str">
        <f t="shared" si="42"/>
        <v>19354111110011</v>
      </c>
      <c r="B1374" s="455" t="str">
        <f>VLOOKUP(LEFT($C$3:$C$2600,3),Table!$D$2:$E$88,2,FALSE)</f>
        <v>3rd Party Revenue</v>
      </c>
      <c r="C1374" s="455" t="str">
        <f t="shared" si="43"/>
        <v>4111110011</v>
      </c>
      <c r="D1374" s="455" t="e">
        <f>VLOOKUP(G1374,Table!$G$3:$H$21,2,FALSE)</f>
        <v>#N/A</v>
      </c>
      <c r="E1374" s="452" t="s">
        <v>902</v>
      </c>
      <c r="F1374" s="452" t="s">
        <v>1655</v>
      </c>
      <c r="G1374" s="452" t="s">
        <v>1749</v>
      </c>
      <c r="H1374" s="452" t="s">
        <v>1750</v>
      </c>
      <c r="I1374" s="453" t="s">
        <v>844</v>
      </c>
      <c r="J1374" s="453">
        <v>77100.91</v>
      </c>
      <c r="K1374" s="461">
        <v>49813.66</v>
      </c>
      <c r="L1374" s="461">
        <v>11228.32</v>
      </c>
      <c r="M1374" s="461">
        <v>16058.93</v>
      </c>
      <c r="N1374" s="461">
        <v>0</v>
      </c>
      <c r="O1374" s="461">
        <v>0</v>
      </c>
      <c r="P1374" s="461">
        <v>0</v>
      </c>
      <c r="Q1374" s="461">
        <v>0</v>
      </c>
      <c r="R1374" s="461">
        <v>0</v>
      </c>
      <c r="S1374" s="461">
        <v>0</v>
      </c>
      <c r="T1374" s="461">
        <v>0</v>
      </c>
      <c r="U1374" s="461">
        <v>0</v>
      </c>
      <c r="V1374" s="461">
        <v>0</v>
      </c>
    </row>
    <row r="1375" spans="1:22" s="455" customFormat="1" hidden="1">
      <c r="A1375" s="455" t="str">
        <f t="shared" si="42"/>
        <v>19354111120011</v>
      </c>
      <c r="B1375" s="455" t="str">
        <f>VLOOKUP(LEFT($C$3:$C$2600,3),Table!$D$2:$E$88,2,FALSE)</f>
        <v>3rd Party Revenue</v>
      </c>
      <c r="C1375" s="455" t="str">
        <f t="shared" si="43"/>
        <v>4111120011</v>
      </c>
      <c r="D1375" s="455" t="e">
        <f>VLOOKUP(G1375,Table!$G$3:$H$21,2,FALSE)</f>
        <v>#N/A</v>
      </c>
      <c r="E1375" s="452" t="s">
        <v>902</v>
      </c>
      <c r="F1375" s="452" t="s">
        <v>1655</v>
      </c>
      <c r="G1375" s="452" t="s">
        <v>1751</v>
      </c>
      <c r="H1375" s="452" t="s">
        <v>1752</v>
      </c>
      <c r="I1375" s="453" t="s">
        <v>844</v>
      </c>
      <c r="J1375" s="453">
        <v>22784.720000000001</v>
      </c>
      <c r="K1375" s="461">
        <v>0</v>
      </c>
      <c r="L1375" s="461">
        <v>14161.23</v>
      </c>
      <c r="M1375" s="461">
        <v>0</v>
      </c>
      <c r="N1375" s="461">
        <v>0</v>
      </c>
      <c r="O1375" s="461">
        <v>0</v>
      </c>
      <c r="P1375" s="461">
        <v>0</v>
      </c>
      <c r="Q1375" s="461">
        <v>0</v>
      </c>
      <c r="R1375" s="461">
        <v>0</v>
      </c>
      <c r="S1375" s="461">
        <v>0</v>
      </c>
      <c r="T1375" s="461">
        <v>0</v>
      </c>
      <c r="U1375" s="461">
        <v>0</v>
      </c>
      <c r="V1375" s="461">
        <v>0</v>
      </c>
    </row>
    <row r="1376" spans="1:22" s="455" customFormat="1" hidden="1">
      <c r="A1376" s="455" t="str">
        <f t="shared" si="42"/>
        <v>19354111130011</v>
      </c>
      <c r="B1376" s="455" t="str">
        <f>VLOOKUP(LEFT($C$3:$C$2600,3),Table!$D$2:$E$88,2,FALSE)</f>
        <v>3rd Party Revenue</v>
      </c>
      <c r="C1376" s="455" t="str">
        <f t="shared" si="43"/>
        <v>4111130011</v>
      </c>
      <c r="D1376" s="455" t="e">
        <f>VLOOKUP(G1376,Table!$G$3:$H$21,2,FALSE)</f>
        <v>#N/A</v>
      </c>
      <c r="E1376" s="452" t="s">
        <v>902</v>
      </c>
      <c r="F1376" s="452" t="s">
        <v>1655</v>
      </c>
      <c r="G1376" s="452" t="s">
        <v>1753</v>
      </c>
      <c r="H1376" s="452" t="s">
        <v>1754</v>
      </c>
      <c r="I1376" s="453" t="s">
        <v>844</v>
      </c>
      <c r="J1376" s="453">
        <v>10574.74</v>
      </c>
      <c r="K1376" s="461">
        <v>0</v>
      </c>
      <c r="L1376" s="461">
        <v>1352.89</v>
      </c>
      <c r="M1376" s="461">
        <v>8166.11</v>
      </c>
      <c r="N1376" s="461">
        <v>0</v>
      </c>
      <c r="O1376" s="461">
        <v>0</v>
      </c>
      <c r="P1376" s="461">
        <v>0</v>
      </c>
      <c r="Q1376" s="461">
        <v>0</v>
      </c>
      <c r="R1376" s="461">
        <v>0</v>
      </c>
      <c r="S1376" s="461">
        <v>0</v>
      </c>
      <c r="T1376" s="461">
        <v>0</v>
      </c>
      <c r="U1376" s="461">
        <v>0</v>
      </c>
      <c r="V1376" s="461">
        <v>0</v>
      </c>
    </row>
    <row r="1377" spans="1:22" s="455" customFormat="1" hidden="1">
      <c r="A1377" s="455" t="str">
        <f t="shared" si="42"/>
        <v>19354111610011</v>
      </c>
      <c r="B1377" s="455" t="str">
        <f>VLOOKUP(LEFT($C$3:$C$2600,3),Table!$D$2:$E$88,2,FALSE)</f>
        <v>3rd Party Revenue</v>
      </c>
      <c r="C1377" s="455" t="str">
        <f t="shared" si="43"/>
        <v>4111610011</v>
      </c>
      <c r="D1377" s="455" t="e">
        <f>VLOOKUP(G1377,Table!$G$3:$H$21,2,FALSE)</f>
        <v>#N/A</v>
      </c>
      <c r="E1377" s="452" t="s">
        <v>902</v>
      </c>
      <c r="F1377" s="452" t="s">
        <v>1655</v>
      </c>
      <c r="G1377" s="452" t="s">
        <v>1755</v>
      </c>
      <c r="H1377" s="452" t="s">
        <v>1756</v>
      </c>
      <c r="I1377" s="453" t="s">
        <v>844</v>
      </c>
      <c r="J1377" s="453">
        <v>3347.13</v>
      </c>
      <c r="K1377" s="461">
        <v>2700.51</v>
      </c>
      <c r="L1377" s="461">
        <v>646.62</v>
      </c>
      <c r="M1377" s="461">
        <v>0</v>
      </c>
      <c r="N1377" s="461">
        <v>0</v>
      </c>
      <c r="O1377" s="461">
        <v>0</v>
      </c>
      <c r="P1377" s="461">
        <v>0</v>
      </c>
      <c r="Q1377" s="461">
        <v>0</v>
      </c>
      <c r="R1377" s="461">
        <v>0</v>
      </c>
      <c r="S1377" s="461">
        <v>0</v>
      </c>
      <c r="T1377" s="461">
        <v>0</v>
      </c>
      <c r="U1377" s="461">
        <v>0</v>
      </c>
      <c r="V1377" s="461">
        <v>0</v>
      </c>
    </row>
    <row r="1378" spans="1:22" s="455" customFormat="1" hidden="1">
      <c r="A1378" s="455" t="str">
        <f t="shared" si="42"/>
        <v>19354111610311</v>
      </c>
      <c r="B1378" s="455" t="str">
        <f>VLOOKUP(LEFT($C$3:$C$2600,3),Table!$D$2:$E$88,2,FALSE)</f>
        <v>3rd Party Revenue</v>
      </c>
      <c r="C1378" s="455" t="str">
        <f t="shared" si="43"/>
        <v>4111610311</v>
      </c>
      <c r="D1378" s="455" t="e">
        <f>VLOOKUP(G1378,Table!$G$3:$H$21,2,FALSE)</f>
        <v>#N/A</v>
      </c>
      <c r="E1378" s="452" t="s">
        <v>902</v>
      </c>
      <c r="F1378" s="452" t="s">
        <v>1655</v>
      </c>
      <c r="G1378" s="452" t="s">
        <v>1757</v>
      </c>
      <c r="H1378" s="452" t="s">
        <v>2579</v>
      </c>
      <c r="I1378" s="453" t="s">
        <v>844</v>
      </c>
      <c r="J1378" s="453">
        <v>3982.69</v>
      </c>
      <c r="K1378" s="461">
        <v>741.03</v>
      </c>
      <c r="L1378" s="461">
        <v>2262.88</v>
      </c>
      <c r="M1378" s="461">
        <v>0</v>
      </c>
      <c r="N1378" s="461">
        <v>0</v>
      </c>
      <c r="O1378" s="461">
        <v>0</v>
      </c>
      <c r="P1378" s="461">
        <v>0</v>
      </c>
      <c r="Q1378" s="461">
        <v>0</v>
      </c>
      <c r="R1378" s="461">
        <v>0</v>
      </c>
      <c r="S1378" s="461">
        <v>0</v>
      </c>
      <c r="T1378" s="461">
        <v>0</v>
      </c>
      <c r="U1378" s="461">
        <v>0</v>
      </c>
      <c r="V1378" s="461">
        <v>0</v>
      </c>
    </row>
    <row r="1379" spans="1:22" s="455" customFormat="1" hidden="1">
      <c r="A1379" s="455" t="str">
        <f t="shared" si="42"/>
        <v>19354111610611</v>
      </c>
      <c r="B1379" s="455" t="str">
        <f>VLOOKUP(LEFT($C$3:$C$2600,3),Table!$D$2:$E$88,2,FALSE)</f>
        <v>3rd Party Revenue</v>
      </c>
      <c r="C1379" s="455" t="str">
        <f t="shared" si="43"/>
        <v>4111610611</v>
      </c>
      <c r="D1379" s="455" t="e">
        <f>VLOOKUP(G1379,Table!$G$3:$H$21,2,FALSE)</f>
        <v>#N/A</v>
      </c>
      <c r="E1379" s="452" t="s">
        <v>902</v>
      </c>
      <c r="F1379" s="452" t="s">
        <v>1655</v>
      </c>
      <c r="G1379" s="452" t="s">
        <v>1758</v>
      </c>
      <c r="H1379" s="452" t="s">
        <v>1759</v>
      </c>
      <c r="I1379" s="453" t="s">
        <v>844</v>
      </c>
      <c r="J1379" s="453">
        <v>1518.36</v>
      </c>
      <c r="K1379" s="461">
        <v>1463.46</v>
      </c>
      <c r="L1379" s="461">
        <v>0</v>
      </c>
      <c r="M1379" s="461">
        <v>0</v>
      </c>
      <c r="N1379" s="461">
        <v>0</v>
      </c>
      <c r="O1379" s="461">
        <v>0</v>
      </c>
      <c r="P1379" s="461">
        <v>0</v>
      </c>
      <c r="Q1379" s="461">
        <v>0</v>
      </c>
      <c r="R1379" s="461">
        <v>0</v>
      </c>
      <c r="S1379" s="461">
        <v>0</v>
      </c>
      <c r="T1379" s="461">
        <v>0</v>
      </c>
      <c r="U1379" s="461">
        <v>0</v>
      </c>
      <c r="V1379" s="461">
        <v>0</v>
      </c>
    </row>
    <row r="1380" spans="1:22" s="455" customFormat="1" hidden="1">
      <c r="A1380" s="455" t="str">
        <f t="shared" si="42"/>
        <v>19354111611011</v>
      </c>
      <c r="B1380" s="455" t="str">
        <f>VLOOKUP(LEFT($C$3:$C$2600,3),Table!$D$2:$E$88,2,FALSE)</f>
        <v>3rd Party Revenue</v>
      </c>
      <c r="C1380" s="455" t="str">
        <f t="shared" si="43"/>
        <v>4111611011</v>
      </c>
      <c r="D1380" s="455" t="e">
        <f>VLOOKUP(G1380,Table!$G$3:$H$21,2,FALSE)</f>
        <v>#N/A</v>
      </c>
      <c r="E1380" s="452" t="s">
        <v>902</v>
      </c>
      <c r="F1380" s="452" t="s">
        <v>1655</v>
      </c>
      <c r="G1380" s="452" t="s">
        <v>1760</v>
      </c>
      <c r="H1380" s="452" t="s">
        <v>1761</v>
      </c>
      <c r="I1380" s="453" t="s">
        <v>844</v>
      </c>
      <c r="J1380" s="453">
        <v>2510.19</v>
      </c>
      <c r="K1380" s="461">
        <v>2049.2199999999998</v>
      </c>
      <c r="L1380" s="461">
        <v>460.97</v>
      </c>
      <c r="M1380" s="461">
        <v>0</v>
      </c>
      <c r="N1380" s="461">
        <v>0</v>
      </c>
      <c r="O1380" s="461">
        <v>0</v>
      </c>
      <c r="P1380" s="461">
        <v>0</v>
      </c>
      <c r="Q1380" s="461">
        <v>0</v>
      </c>
      <c r="R1380" s="461">
        <v>0</v>
      </c>
      <c r="S1380" s="461">
        <v>0</v>
      </c>
      <c r="T1380" s="461">
        <v>0</v>
      </c>
      <c r="U1380" s="461">
        <v>0</v>
      </c>
      <c r="V1380" s="461">
        <v>0</v>
      </c>
    </row>
    <row r="1381" spans="1:22" s="455" customFormat="1" hidden="1">
      <c r="A1381" s="455" t="str">
        <f t="shared" si="42"/>
        <v>19354121010211</v>
      </c>
      <c r="B1381" s="455" t="str">
        <f>VLOOKUP(LEFT($C$3:$C$2600,3),Table!$D$2:$E$88,2,FALSE)</f>
        <v>3rd Party Revenue</v>
      </c>
      <c r="C1381" s="455" t="str">
        <f t="shared" si="43"/>
        <v>4121010211</v>
      </c>
      <c r="D1381" s="455" t="e">
        <f>VLOOKUP(G1381,Table!$G$3:$H$21,2,FALSE)</f>
        <v>#N/A</v>
      </c>
      <c r="E1381" s="452" t="s">
        <v>902</v>
      </c>
      <c r="F1381" s="452" t="s">
        <v>1655</v>
      </c>
      <c r="G1381" s="452" t="s">
        <v>1762</v>
      </c>
      <c r="H1381" s="452" t="s">
        <v>1763</v>
      </c>
      <c r="I1381" s="453" t="s">
        <v>844</v>
      </c>
      <c r="J1381" s="453">
        <v>326.08999999999997</v>
      </c>
      <c r="K1381" s="461">
        <v>0</v>
      </c>
      <c r="L1381" s="461">
        <v>0</v>
      </c>
      <c r="M1381" s="461">
        <v>326.08999999999997</v>
      </c>
      <c r="N1381" s="461">
        <v>0</v>
      </c>
      <c r="O1381" s="461">
        <v>0</v>
      </c>
      <c r="P1381" s="461">
        <v>0</v>
      </c>
      <c r="Q1381" s="461">
        <v>0</v>
      </c>
      <c r="R1381" s="461">
        <v>0</v>
      </c>
      <c r="S1381" s="461">
        <v>0</v>
      </c>
      <c r="T1381" s="461">
        <v>0</v>
      </c>
      <c r="U1381" s="461">
        <v>0</v>
      </c>
      <c r="V1381" s="461">
        <v>0</v>
      </c>
    </row>
    <row r="1382" spans="1:22" s="455" customFormat="1" hidden="1">
      <c r="A1382" s="455" t="str">
        <f t="shared" si="42"/>
        <v>19354121110011</v>
      </c>
      <c r="B1382" s="455" t="str">
        <f>VLOOKUP(LEFT($C$3:$C$2600,3),Table!$D$2:$E$88,2,FALSE)</f>
        <v>3rd Party Revenue</v>
      </c>
      <c r="C1382" s="455" t="str">
        <f t="shared" si="43"/>
        <v>4121110011</v>
      </c>
      <c r="D1382" s="455" t="e">
        <f>VLOOKUP(G1382,Table!$G$3:$H$21,2,FALSE)</f>
        <v>#N/A</v>
      </c>
      <c r="E1382" s="452" t="s">
        <v>902</v>
      </c>
      <c r="F1382" s="452" t="s">
        <v>1655</v>
      </c>
      <c r="G1382" s="452" t="s">
        <v>1764</v>
      </c>
      <c r="H1382" s="452" t="s">
        <v>1765</v>
      </c>
      <c r="I1382" s="453" t="s">
        <v>844</v>
      </c>
      <c r="J1382" s="453">
        <v>7112.55</v>
      </c>
      <c r="K1382" s="461">
        <v>3634.52</v>
      </c>
      <c r="L1382" s="461">
        <v>1066.1400000000001</v>
      </c>
      <c r="M1382" s="461">
        <v>2411.89</v>
      </c>
      <c r="N1382" s="461">
        <v>0</v>
      </c>
      <c r="O1382" s="461">
        <v>0</v>
      </c>
      <c r="P1382" s="461">
        <v>0</v>
      </c>
      <c r="Q1382" s="461">
        <v>0</v>
      </c>
      <c r="R1382" s="461">
        <v>0</v>
      </c>
      <c r="S1382" s="461">
        <v>0</v>
      </c>
      <c r="T1382" s="461">
        <v>0</v>
      </c>
      <c r="U1382" s="461">
        <v>0</v>
      </c>
      <c r="V1382" s="461">
        <v>0</v>
      </c>
    </row>
    <row r="1383" spans="1:22" s="455" customFormat="1" hidden="1">
      <c r="A1383" s="455" t="str">
        <f t="shared" si="42"/>
        <v>19354121120011</v>
      </c>
      <c r="B1383" s="455" t="str">
        <f>VLOOKUP(LEFT($C$3:$C$2600,3),Table!$D$2:$E$88,2,FALSE)</f>
        <v>3rd Party Revenue</v>
      </c>
      <c r="C1383" s="455" t="str">
        <f t="shared" si="43"/>
        <v>4121120011</v>
      </c>
      <c r="D1383" s="455" t="e">
        <f>VLOOKUP(G1383,Table!$G$3:$H$21,2,FALSE)</f>
        <v>#N/A</v>
      </c>
      <c r="E1383" s="452" t="s">
        <v>902</v>
      </c>
      <c r="F1383" s="452" t="s">
        <v>1655</v>
      </c>
      <c r="G1383" s="452" t="s">
        <v>1766</v>
      </c>
      <c r="H1383" s="452" t="s">
        <v>1767</v>
      </c>
      <c r="I1383" s="453" t="s">
        <v>844</v>
      </c>
      <c r="J1383" s="453">
        <v>2214.21</v>
      </c>
      <c r="K1383" s="461">
        <v>173.05</v>
      </c>
      <c r="L1383" s="461">
        <v>2041.16</v>
      </c>
      <c r="M1383" s="461">
        <v>0</v>
      </c>
      <c r="N1383" s="461">
        <v>0</v>
      </c>
      <c r="O1383" s="461">
        <v>0</v>
      </c>
      <c r="P1383" s="461">
        <v>0</v>
      </c>
      <c r="Q1383" s="461">
        <v>0</v>
      </c>
      <c r="R1383" s="461">
        <v>0</v>
      </c>
      <c r="S1383" s="461">
        <v>0</v>
      </c>
      <c r="T1383" s="461">
        <v>0</v>
      </c>
      <c r="U1383" s="461">
        <v>0</v>
      </c>
      <c r="V1383" s="461">
        <v>0</v>
      </c>
    </row>
    <row r="1384" spans="1:22" s="455" customFormat="1" hidden="1">
      <c r="A1384" s="455" t="str">
        <f t="shared" si="42"/>
        <v>19354121130011</v>
      </c>
      <c r="B1384" s="455" t="str">
        <f>VLOOKUP(LEFT($C$3:$C$2600,3),Table!$D$2:$E$88,2,FALSE)</f>
        <v>3rd Party Revenue</v>
      </c>
      <c r="C1384" s="455" t="str">
        <f t="shared" si="43"/>
        <v>4121130011</v>
      </c>
      <c r="D1384" s="455" t="e">
        <f>VLOOKUP(G1384,Table!$G$3:$H$21,2,FALSE)</f>
        <v>#N/A</v>
      </c>
      <c r="E1384" s="452" t="s">
        <v>902</v>
      </c>
      <c r="F1384" s="452" t="s">
        <v>1655</v>
      </c>
      <c r="G1384" s="452" t="s">
        <v>1768</v>
      </c>
      <c r="H1384" s="452" t="s">
        <v>1769</v>
      </c>
      <c r="I1384" s="453" t="s">
        <v>844</v>
      </c>
      <c r="J1384" s="453">
        <v>1084.42</v>
      </c>
      <c r="K1384" s="461">
        <v>629.35</v>
      </c>
      <c r="L1384" s="461">
        <v>63.14</v>
      </c>
      <c r="M1384" s="461">
        <v>347.06</v>
      </c>
      <c r="N1384" s="461">
        <v>0</v>
      </c>
      <c r="O1384" s="461">
        <v>0</v>
      </c>
      <c r="P1384" s="461">
        <v>0</v>
      </c>
      <c r="Q1384" s="461">
        <v>0</v>
      </c>
      <c r="R1384" s="461">
        <v>0</v>
      </c>
      <c r="S1384" s="461">
        <v>0</v>
      </c>
      <c r="T1384" s="461">
        <v>0</v>
      </c>
      <c r="U1384" s="461">
        <v>0</v>
      </c>
      <c r="V1384" s="461">
        <v>0</v>
      </c>
    </row>
    <row r="1385" spans="1:22" s="455" customFormat="1" hidden="1">
      <c r="A1385" s="455" t="str">
        <f t="shared" si="42"/>
        <v>19354121140011</v>
      </c>
      <c r="B1385" s="455" t="str">
        <f>VLOOKUP(LEFT($C$3:$C$2600,3),Table!$D$2:$E$88,2,FALSE)</f>
        <v>3rd Party Revenue</v>
      </c>
      <c r="C1385" s="455" t="str">
        <f t="shared" si="43"/>
        <v>4121140011</v>
      </c>
      <c r="D1385" s="455" t="e">
        <f>VLOOKUP(G1385,Table!$G$3:$H$21,2,FALSE)</f>
        <v>#N/A</v>
      </c>
      <c r="E1385" s="452" t="s">
        <v>902</v>
      </c>
      <c r="F1385" s="452" t="s">
        <v>1655</v>
      </c>
      <c r="G1385" s="452" t="s">
        <v>1770</v>
      </c>
      <c r="H1385" s="452" t="s">
        <v>1771</v>
      </c>
      <c r="I1385" s="453" t="s">
        <v>844</v>
      </c>
      <c r="J1385" s="453">
        <v>49.1</v>
      </c>
      <c r="K1385" s="461">
        <v>3.2</v>
      </c>
      <c r="L1385" s="461">
        <v>45.9</v>
      </c>
      <c r="M1385" s="461">
        <v>0</v>
      </c>
      <c r="N1385" s="461">
        <v>0</v>
      </c>
      <c r="O1385" s="461">
        <v>0</v>
      </c>
      <c r="P1385" s="461">
        <v>0</v>
      </c>
      <c r="Q1385" s="461">
        <v>0</v>
      </c>
      <c r="R1385" s="461">
        <v>0</v>
      </c>
      <c r="S1385" s="461">
        <v>0</v>
      </c>
      <c r="T1385" s="461">
        <v>0</v>
      </c>
      <c r="U1385" s="461">
        <v>0</v>
      </c>
      <c r="V1385" s="461">
        <v>0</v>
      </c>
    </row>
    <row r="1386" spans="1:22" s="455" customFormat="1" hidden="1">
      <c r="A1386" s="455" t="str">
        <f t="shared" si="42"/>
        <v>19354121610011</v>
      </c>
      <c r="B1386" s="455" t="str">
        <f>VLOOKUP(LEFT($C$3:$C$2600,3),Table!$D$2:$E$88,2,FALSE)</f>
        <v>3rd Party Revenue</v>
      </c>
      <c r="C1386" s="455" t="str">
        <f t="shared" si="43"/>
        <v>4121610011</v>
      </c>
      <c r="D1386" s="455" t="e">
        <f>VLOOKUP(G1386,Table!$G$3:$H$21,2,FALSE)</f>
        <v>#N/A</v>
      </c>
      <c r="E1386" s="452" t="s">
        <v>902</v>
      </c>
      <c r="F1386" s="452" t="s">
        <v>1655</v>
      </c>
      <c r="G1386" s="452" t="s">
        <v>1772</v>
      </c>
      <c r="H1386" s="452" t="s">
        <v>1773</v>
      </c>
      <c r="I1386" s="453" t="s">
        <v>844</v>
      </c>
      <c r="J1386" s="453">
        <v>5502.9</v>
      </c>
      <c r="K1386" s="461">
        <v>2680.26</v>
      </c>
      <c r="L1386" s="461">
        <v>2822.64</v>
      </c>
      <c r="M1386" s="461">
        <v>0</v>
      </c>
      <c r="N1386" s="461">
        <v>0</v>
      </c>
      <c r="O1386" s="461">
        <v>0</v>
      </c>
      <c r="P1386" s="461">
        <v>0</v>
      </c>
      <c r="Q1386" s="461">
        <v>0</v>
      </c>
      <c r="R1386" s="461">
        <v>0</v>
      </c>
      <c r="S1386" s="461">
        <v>0</v>
      </c>
      <c r="T1386" s="461">
        <v>0</v>
      </c>
      <c r="U1386" s="461">
        <v>0</v>
      </c>
      <c r="V1386" s="461">
        <v>0</v>
      </c>
    </row>
    <row r="1387" spans="1:22" s="455" customFormat="1" hidden="1">
      <c r="A1387" s="455" t="str">
        <f t="shared" si="42"/>
        <v>19354121610311</v>
      </c>
      <c r="B1387" s="455" t="str">
        <f>VLOOKUP(LEFT($C$3:$C$2600,3),Table!$D$2:$E$88,2,FALSE)</f>
        <v>3rd Party Revenue</v>
      </c>
      <c r="C1387" s="455" t="str">
        <f t="shared" si="43"/>
        <v>4121610311</v>
      </c>
      <c r="D1387" s="455" t="e">
        <f>VLOOKUP(G1387,Table!$G$3:$H$21,2,FALSE)</f>
        <v>#N/A</v>
      </c>
      <c r="E1387" s="452" t="s">
        <v>902</v>
      </c>
      <c r="F1387" s="452" t="s">
        <v>1655</v>
      </c>
      <c r="G1387" s="452" t="s">
        <v>1774</v>
      </c>
      <c r="H1387" s="452" t="s">
        <v>2580</v>
      </c>
      <c r="I1387" s="453" t="s">
        <v>844</v>
      </c>
      <c r="J1387" s="453">
        <v>2981.37</v>
      </c>
      <c r="K1387" s="461">
        <v>735.46</v>
      </c>
      <c r="L1387" s="461">
        <v>2245.91</v>
      </c>
      <c r="M1387" s="461">
        <v>0</v>
      </c>
      <c r="N1387" s="461">
        <v>0</v>
      </c>
      <c r="O1387" s="461">
        <v>0</v>
      </c>
      <c r="P1387" s="461">
        <v>0</v>
      </c>
      <c r="Q1387" s="461">
        <v>0</v>
      </c>
      <c r="R1387" s="461">
        <v>0</v>
      </c>
      <c r="S1387" s="461">
        <v>0</v>
      </c>
      <c r="T1387" s="461">
        <v>0</v>
      </c>
      <c r="U1387" s="461">
        <v>0</v>
      </c>
      <c r="V1387" s="461">
        <v>0</v>
      </c>
    </row>
    <row r="1388" spans="1:22" s="455" customFormat="1" hidden="1">
      <c r="A1388" s="455" t="str">
        <f t="shared" si="42"/>
        <v>19354121610611</v>
      </c>
      <c r="B1388" s="455" t="str">
        <f>VLOOKUP(LEFT($C$3:$C$2600,3),Table!$D$2:$E$88,2,FALSE)</f>
        <v>3rd Party Revenue</v>
      </c>
      <c r="C1388" s="455" t="str">
        <f t="shared" si="43"/>
        <v>4121610611</v>
      </c>
      <c r="D1388" s="455" t="e">
        <f>VLOOKUP(G1388,Table!$G$3:$H$21,2,FALSE)</f>
        <v>#N/A</v>
      </c>
      <c r="E1388" s="452" t="s">
        <v>902</v>
      </c>
      <c r="F1388" s="452" t="s">
        <v>1655</v>
      </c>
      <c r="G1388" s="452" t="s">
        <v>1775</v>
      </c>
      <c r="H1388" s="452" t="s">
        <v>1776</v>
      </c>
      <c r="I1388" s="453" t="s">
        <v>844</v>
      </c>
      <c r="J1388" s="453">
        <v>111.73</v>
      </c>
      <c r="K1388" s="461">
        <v>1452.51</v>
      </c>
      <c r="L1388" s="461">
        <v>-1340.78</v>
      </c>
      <c r="M1388" s="461">
        <v>0</v>
      </c>
      <c r="N1388" s="461">
        <v>0</v>
      </c>
      <c r="O1388" s="461">
        <v>0</v>
      </c>
      <c r="P1388" s="461">
        <v>0</v>
      </c>
      <c r="Q1388" s="461">
        <v>0</v>
      </c>
      <c r="R1388" s="461">
        <v>0</v>
      </c>
      <c r="S1388" s="461">
        <v>0</v>
      </c>
      <c r="T1388" s="461">
        <v>0</v>
      </c>
      <c r="U1388" s="461">
        <v>0</v>
      </c>
      <c r="V1388" s="461">
        <v>0</v>
      </c>
    </row>
    <row r="1389" spans="1:22" s="455" customFormat="1" hidden="1">
      <c r="A1389" s="455" t="str">
        <f t="shared" si="42"/>
        <v>19354121611011</v>
      </c>
      <c r="B1389" s="455" t="str">
        <f>VLOOKUP(LEFT($C$3:$C$2600,3),Table!$D$2:$E$88,2,FALSE)</f>
        <v>3rd Party Revenue</v>
      </c>
      <c r="C1389" s="455" t="str">
        <f t="shared" si="43"/>
        <v>4121611011</v>
      </c>
      <c r="D1389" s="455" t="e">
        <f>VLOOKUP(G1389,Table!$G$3:$H$21,2,FALSE)</f>
        <v>#N/A</v>
      </c>
      <c r="E1389" s="452" t="s">
        <v>902</v>
      </c>
      <c r="F1389" s="452" t="s">
        <v>1655</v>
      </c>
      <c r="G1389" s="452" t="s">
        <v>1777</v>
      </c>
      <c r="H1389" s="452" t="s">
        <v>1778</v>
      </c>
      <c r="I1389" s="453" t="s">
        <v>844</v>
      </c>
      <c r="J1389" s="453">
        <v>2118.1799999999998</v>
      </c>
      <c r="K1389" s="461">
        <v>2500.75</v>
      </c>
      <c r="L1389" s="461">
        <v>-382.57</v>
      </c>
      <c r="M1389" s="461">
        <v>0</v>
      </c>
      <c r="N1389" s="461">
        <v>0</v>
      </c>
      <c r="O1389" s="461">
        <v>0</v>
      </c>
      <c r="P1389" s="461">
        <v>0</v>
      </c>
      <c r="Q1389" s="461">
        <v>0</v>
      </c>
      <c r="R1389" s="461">
        <v>0</v>
      </c>
      <c r="S1389" s="461">
        <v>0</v>
      </c>
      <c r="T1389" s="461">
        <v>0</v>
      </c>
      <c r="U1389" s="461">
        <v>0</v>
      </c>
      <c r="V1389" s="461">
        <v>0</v>
      </c>
    </row>
    <row r="1390" spans="1:22" s="455" customFormat="1" hidden="1">
      <c r="A1390" s="455" t="str">
        <f t="shared" si="42"/>
        <v>19355011005011</v>
      </c>
      <c r="B1390" s="455" t="str">
        <f>VLOOKUP(LEFT($C$3:$C$2600,3),Table!$D$2:$E$88,2,FALSE)</f>
        <v>3rd Party Contracted Metal</v>
      </c>
      <c r="C1390" s="455" t="str">
        <f t="shared" si="43"/>
        <v>5011005011</v>
      </c>
      <c r="D1390" s="455" t="e">
        <f>VLOOKUP(G1390,Table!$G$3:$H$21,2,FALSE)</f>
        <v>#N/A</v>
      </c>
      <c r="E1390" s="452" t="s">
        <v>902</v>
      </c>
      <c r="F1390" s="452" t="s">
        <v>1655</v>
      </c>
      <c r="G1390" s="452" t="s">
        <v>1779</v>
      </c>
      <c r="H1390" s="452" t="s">
        <v>1780</v>
      </c>
      <c r="I1390" s="453" t="s">
        <v>844</v>
      </c>
      <c r="J1390" s="453">
        <v>174708.92</v>
      </c>
      <c r="K1390" s="461">
        <v>36297.800000000003</v>
      </c>
      <c r="L1390" s="461">
        <v>111767.82</v>
      </c>
      <c r="M1390" s="461">
        <v>26643.3</v>
      </c>
      <c r="N1390" s="461">
        <v>0</v>
      </c>
      <c r="O1390" s="461">
        <v>0</v>
      </c>
      <c r="P1390" s="461">
        <v>0</v>
      </c>
      <c r="Q1390" s="461">
        <v>0</v>
      </c>
      <c r="R1390" s="461">
        <v>0</v>
      </c>
      <c r="S1390" s="461">
        <v>0</v>
      </c>
      <c r="T1390" s="461">
        <v>0</v>
      </c>
      <c r="U1390" s="461">
        <v>0</v>
      </c>
      <c r="V1390" s="461">
        <v>0</v>
      </c>
    </row>
    <row r="1391" spans="1:22" s="455" customFormat="1" hidden="1">
      <c r="A1391" s="455" t="str">
        <f t="shared" si="42"/>
        <v>19355011010211</v>
      </c>
      <c r="B1391" s="455" t="str">
        <f>VLOOKUP(LEFT($C$3:$C$2600,3),Table!$D$2:$E$88,2,FALSE)</f>
        <v>3rd Party Contracted Metal</v>
      </c>
      <c r="C1391" s="455" t="str">
        <f t="shared" si="43"/>
        <v>5011010211</v>
      </c>
      <c r="D1391" s="455" t="e">
        <f>VLOOKUP(G1391,Table!$G$3:$H$21,2,FALSE)</f>
        <v>#N/A</v>
      </c>
      <c r="E1391" s="452" t="s">
        <v>902</v>
      </c>
      <c r="F1391" s="452" t="s">
        <v>1655</v>
      </c>
      <c r="G1391" s="452" t="s">
        <v>1781</v>
      </c>
      <c r="H1391" s="452" t="s">
        <v>1782</v>
      </c>
      <c r="I1391" s="453" t="s">
        <v>844</v>
      </c>
      <c r="J1391" s="453">
        <v>2731639.8</v>
      </c>
      <c r="K1391" s="461">
        <v>1039604.28</v>
      </c>
      <c r="L1391" s="461">
        <v>765364.24</v>
      </c>
      <c r="M1391" s="461">
        <v>926671.28</v>
      </c>
      <c r="N1391" s="461">
        <v>0</v>
      </c>
      <c r="O1391" s="461">
        <v>0</v>
      </c>
      <c r="P1391" s="461">
        <v>0</v>
      </c>
      <c r="Q1391" s="461">
        <v>0</v>
      </c>
      <c r="R1391" s="461">
        <v>0</v>
      </c>
      <c r="S1391" s="461">
        <v>0</v>
      </c>
      <c r="T1391" s="461">
        <v>0</v>
      </c>
      <c r="U1391" s="461">
        <v>0</v>
      </c>
      <c r="V1391" s="461">
        <v>0</v>
      </c>
    </row>
    <row r="1392" spans="1:22" s="455" customFormat="1" hidden="1">
      <c r="A1392" s="455" t="str">
        <f t="shared" si="42"/>
        <v>19355011010311</v>
      </c>
      <c r="B1392" s="455" t="str">
        <f>VLOOKUP(LEFT($C$3:$C$2600,3),Table!$D$2:$E$88,2,FALSE)</f>
        <v>3rd Party Contracted Metal</v>
      </c>
      <c r="C1392" s="455" t="str">
        <f t="shared" si="43"/>
        <v>5011010311</v>
      </c>
      <c r="D1392" s="455" t="e">
        <f>VLOOKUP(G1392,Table!$G$3:$H$21,2,FALSE)</f>
        <v>#N/A</v>
      </c>
      <c r="E1392" s="452" t="s">
        <v>902</v>
      </c>
      <c r="F1392" s="452" t="s">
        <v>1655</v>
      </c>
      <c r="G1392" s="452" t="s">
        <v>1783</v>
      </c>
      <c r="H1392" s="452" t="s">
        <v>1784</v>
      </c>
      <c r="I1392" s="453" t="s">
        <v>844</v>
      </c>
      <c r="J1392" s="453">
        <v>143081</v>
      </c>
      <c r="K1392" s="461">
        <v>115719</v>
      </c>
      <c r="L1392" s="461">
        <v>27362</v>
      </c>
      <c r="M1392" s="461">
        <v>0</v>
      </c>
      <c r="N1392" s="461">
        <v>0</v>
      </c>
      <c r="O1392" s="461">
        <v>0</v>
      </c>
      <c r="P1392" s="461">
        <v>0</v>
      </c>
      <c r="Q1392" s="461">
        <v>0</v>
      </c>
      <c r="R1392" s="461">
        <v>0</v>
      </c>
      <c r="S1392" s="461">
        <v>0</v>
      </c>
      <c r="T1392" s="461">
        <v>0</v>
      </c>
      <c r="U1392" s="461">
        <v>0</v>
      </c>
      <c r="V1392" s="461">
        <v>0</v>
      </c>
    </row>
    <row r="1393" spans="1:22" s="455" customFormat="1" hidden="1">
      <c r="A1393" s="455" t="str">
        <f t="shared" si="42"/>
        <v>19355011030011</v>
      </c>
      <c r="B1393" s="455" t="str">
        <f>VLOOKUP(LEFT($C$3:$C$2600,3),Table!$D$2:$E$88,2,FALSE)</f>
        <v>3rd Party Contracted Metal</v>
      </c>
      <c r="C1393" s="455" t="str">
        <f t="shared" si="43"/>
        <v>5011030011</v>
      </c>
      <c r="D1393" s="455" t="e">
        <f>VLOOKUP(G1393,Table!$G$3:$H$21,2,FALSE)</f>
        <v>#N/A</v>
      </c>
      <c r="E1393" s="452" t="s">
        <v>902</v>
      </c>
      <c r="F1393" s="452" t="s">
        <v>1655</v>
      </c>
      <c r="G1393" s="452" t="s">
        <v>1785</v>
      </c>
      <c r="H1393" s="452" t="s">
        <v>1786</v>
      </c>
      <c r="I1393" s="453" t="s">
        <v>844</v>
      </c>
      <c r="J1393" s="453">
        <v>3287674.43</v>
      </c>
      <c r="K1393" s="461">
        <v>564369.39</v>
      </c>
      <c r="L1393" s="461">
        <v>1649428.3</v>
      </c>
      <c r="M1393" s="461">
        <v>1073876.74</v>
      </c>
      <c r="N1393" s="461">
        <v>0</v>
      </c>
      <c r="O1393" s="461">
        <v>0</v>
      </c>
      <c r="P1393" s="461">
        <v>0</v>
      </c>
      <c r="Q1393" s="461">
        <v>0</v>
      </c>
      <c r="R1393" s="461">
        <v>0</v>
      </c>
      <c r="S1393" s="461">
        <v>0</v>
      </c>
      <c r="T1393" s="461">
        <v>0</v>
      </c>
      <c r="U1393" s="461">
        <v>0</v>
      </c>
      <c r="V1393" s="461">
        <v>0</v>
      </c>
    </row>
    <row r="1394" spans="1:22" s="455" customFormat="1" hidden="1">
      <c r="A1394" s="455" t="str">
        <f t="shared" si="42"/>
        <v>19355011110011</v>
      </c>
      <c r="B1394" s="455" t="str">
        <f>VLOOKUP(LEFT($C$3:$C$2600,3),Table!$D$2:$E$88,2,FALSE)</f>
        <v>3rd Party Contracted Metal</v>
      </c>
      <c r="C1394" s="455" t="str">
        <f t="shared" si="43"/>
        <v>5011110011</v>
      </c>
      <c r="D1394" s="455" t="e">
        <f>VLOOKUP(G1394,Table!$G$3:$H$21,2,FALSE)</f>
        <v>#N/A</v>
      </c>
      <c r="E1394" s="452" t="s">
        <v>902</v>
      </c>
      <c r="F1394" s="452" t="s">
        <v>1655</v>
      </c>
      <c r="G1394" s="452" t="s">
        <v>1787</v>
      </c>
      <c r="H1394" s="452" t="s">
        <v>1788</v>
      </c>
      <c r="I1394" s="453" t="s">
        <v>844</v>
      </c>
      <c r="J1394" s="453">
        <v>528622</v>
      </c>
      <c r="K1394" s="461">
        <v>368161</v>
      </c>
      <c r="L1394" s="461">
        <v>62056</v>
      </c>
      <c r="M1394" s="461">
        <v>98405</v>
      </c>
      <c r="N1394" s="461">
        <v>0</v>
      </c>
      <c r="O1394" s="461">
        <v>0</v>
      </c>
      <c r="P1394" s="461">
        <v>0</v>
      </c>
      <c r="Q1394" s="461">
        <v>0</v>
      </c>
      <c r="R1394" s="461">
        <v>0</v>
      </c>
      <c r="S1394" s="461">
        <v>0</v>
      </c>
      <c r="T1394" s="461">
        <v>0</v>
      </c>
      <c r="U1394" s="461">
        <v>0</v>
      </c>
      <c r="V1394" s="461">
        <v>0</v>
      </c>
    </row>
    <row r="1395" spans="1:22" s="455" customFormat="1" hidden="1">
      <c r="A1395" s="455" t="str">
        <f t="shared" si="42"/>
        <v>19355011120011</v>
      </c>
      <c r="B1395" s="455" t="str">
        <f>VLOOKUP(LEFT($C$3:$C$2600,3),Table!$D$2:$E$88,2,FALSE)</f>
        <v>3rd Party Contracted Metal</v>
      </c>
      <c r="C1395" s="455" t="str">
        <f t="shared" si="43"/>
        <v>5011120011</v>
      </c>
      <c r="D1395" s="455" t="e">
        <f>VLOOKUP(G1395,Table!$G$3:$H$21,2,FALSE)</f>
        <v>#N/A</v>
      </c>
      <c r="E1395" s="452" t="s">
        <v>902</v>
      </c>
      <c r="F1395" s="452" t="s">
        <v>1655</v>
      </c>
      <c r="G1395" s="452" t="s">
        <v>1789</v>
      </c>
      <c r="H1395" s="452" t="s">
        <v>1790</v>
      </c>
      <c r="I1395" s="453" t="s">
        <v>844</v>
      </c>
      <c r="J1395" s="453">
        <v>157570</v>
      </c>
      <c r="K1395" s="461">
        <v>8078</v>
      </c>
      <c r="L1395" s="461">
        <v>72239</v>
      </c>
      <c r="M1395" s="461">
        <v>77253</v>
      </c>
      <c r="N1395" s="461">
        <v>0</v>
      </c>
      <c r="O1395" s="461">
        <v>0</v>
      </c>
      <c r="P1395" s="461">
        <v>0</v>
      </c>
      <c r="Q1395" s="461">
        <v>0</v>
      </c>
      <c r="R1395" s="461">
        <v>0</v>
      </c>
      <c r="S1395" s="461">
        <v>0</v>
      </c>
      <c r="T1395" s="461">
        <v>0</v>
      </c>
      <c r="U1395" s="461">
        <v>0</v>
      </c>
      <c r="V1395" s="461">
        <v>0</v>
      </c>
    </row>
    <row r="1396" spans="1:22" s="455" customFormat="1" hidden="1">
      <c r="A1396" s="455" t="str">
        <f t="shared" si="42"/>
        <v>19355011130011</v>
      </c>
      <c r="B1396" s="455" t="str">
        <f>VLOOKUP(LEFT($C$3:$C$2600,3),Table!$D$2:$E$88,2,FALSE)</f>
        <v>3rd Party Contracted Metal</v>
      </c>
      <c r="C1396" s="455" t="str">
        <f t="shared" si="43"/>
        <v>5011130011</v>
      </c>
      <c r="D1396" s="455" t="e">
        <f>VLOOKUP(G1396,Table!$G$3:$H$21,2,FALSE)</f>
        <v>#N/A</v>
      </c>
      <c r="E1396" s="452" t="s">
        <v>902</v>
      </c>
      <c r="F1396" s="452" t="s">
        <v>1655</v>
      </c>
      <c r="G1396" s="452" t="s">
        <v>1791</v>
      </c>
      <c r="H1396" s="452" t="s">
        <v>1792</v>
      </c>
      <c r="I1396" s="453" t="s">
        <v>844</v>
      </c>
      <c r="J1396" s="453">
        <v>167779</v>
      </c>
      <c r="K1396" s="461">
        <v>32590</v>
      </c>
      <c r="L1396" s="461">
        <v>79587</v>
      </c>
      <c r="M1396" s="461">
        <v>55602</v>
      </c>
      <c r="N1396" s="461">
        <v>0</v>
      </c>
      <c r="O1396" s="461">
        <v>0</v>
      </c>
      <c r="P1396" s="461">
        <v>0</v>
      </c>
      <c r="Q1396" s="461">
        <v>0</v>
      </c>
      <c r="R1396" s="461">
        <v>0</v>
      </c>
      <c r="S1396" s="461">
        <v>0</v>
      </c>
      <c r="T1396" s="461">
        <v>0</v>
      </c>
      <c r="U1396" s="461">
        <v>0</v>
      </c>
      <c r="V1396" s="461">
        <v>0</v>
      </c>
    </row>
    <row r="1397" spans="1:22" s="455" customFormat="1" hidden="1">
      <c r="A1397" s="455" t="str">
        <f t="shared" si="42"/>
        <v>19355011510520</v>
      </c>
      <c r="B1397" s="455" t="str">
        <f>VLOOKUP(LEFT($C$3:$C$2600,3),Table!$D$2:$E$88,2,FALSE)</f>
        <v>3rd Party Contracted Metal</v>
      </c>
      <c r="C1397" s="455" t="str">
        <f t="shared" si="43"/>
        <v>5011510520</v>
      </c>
      <c r="D1397" s="455" t="e">
        <f>VLOOKUP(G1397,Table!$G$3:$H$21,2,FALSE)</f>
        <v>#N/A</v>
      </c>
      <c r="E1397" s="452" t="s">
        <v>902</v>
      </c>
      <c r="F1397" s="452" t="s">
        <v>1655</v>
      </c>
      <c r="G1397" s="452" t="s">
        <v>1793</v>
      </c>
      <c r="H1397" s="452" t="s">
        <v>1794</v>
      </c>
      <c r="I1397" s="453" t="s">
        <v>844</v>
      </c>
      <c r="J1397" s="453">
        <v>570978.34</v>
      </c>
      <c r="K1397" s="461">
        <v>152718.51999999999</v>
      </c>
      <c r="L1397" s="461">
        <v>231828.95</v>
      </c>
      <c r="M1397" s="461">
        <v>186430.87</v>
      </c>
      <c r="N1397" s="461">
        <v>0</v>
      </c>
      <c r="O1397" s="461">
        <v>0</v>
      </c>
      <c r="P1397" s="461">
        <v>0</v>
      </c>
      <c r="Q1397" s="461">
        <v>0</v>
      </c>
      <c r="R1397" s="461">
        <v>0</v>
      </c>
      <c r="S1397" s="461">
        <v>0</v>
      </c>
      <c r="T1397" s="461">
        <v>0</v>
      </c>
      <c r="U1397" s="461">
        <v>0</v>
      </c>
      <c r="V1397" s="461">
        <v>0</v>
      </c>
    </row>
    <row r="1398" spans="1:22" s="455" customFormat="1" hidden="1">
      <c r="A1398" s="455" t="str">
        <f t="shared" si="42"/>
        <v>19355011610011</v>
      </c>
      <c r="B1398" s="455" t="str">
        <f>VLOOKUP(LEFT($C$3:$C$2600,3),Table!$D$2:$E$88,2,FALSE)</f>
        <v>3rd Party Contracted Metal</v>
      </c>
      <c r="C1398" s="455" t="str">
        <f t="shared" si="43"/>
        <v>5011610011</v>
      </c>
      <c r="D1398" s="455" t="e">
        <f>VLOOKUP(G1398,Table!$G$3:$H$21,2,FALSE)</f>
        <v>#N/A</v>
      </c>
      <c r="E1398" s="452" t="s">
        <v>902</v>
      </c>
      <c r="F1398" s="452" t="s">
        <v>1655</v>
      </c>
      <c r="G1398" s="452" t="s">
        <v>1795</v>
      </c>
      <c r="H1398" s="452" t="s">
        <v>1796</v>
      </c>
      <c r="I1398" s="453" t="s">
        <v>844</v>
      </c>
      <c r="J1398" s="453">
        <v>1321142</v>
      </c>
      <c r="K1398" s="461">
        <v>709760</v>
      </c>
      <c r="L1398" s="461">
        <v>403067</v>
      </c>
      <c r="M1398" s="461">
        <v>208315</v>
      </c>
      <c r="N1398" s="461">
        <v>0</v>
      </c>
      <c r="O1398" s="461">
        <v>0</v>
      </c>
      <c r="P1398" s="461">
        <v>0</v>
      </c>
      <c r="Q1398" s="461">
        <v>0</v>
      </c>
      <c r="R1398" s="461">
        <v>0</v>
      </c>
      <c r="S1398" s="461">
        <v>0</v>
      </c>
      <c r="T1398" s="461">
        <v>0</v>
      </c>
      <c r="U1398" s="461">
        <v>0</v>
      </c>
      <c r="V1398" s="461">
        <v>0</v>
      </c>
    </row>
    <row r="1399" spans="1:22" s="455" customFormat="1" hidden="1">
      <c r="A1399" s="455" t="str">
        <f t="shared" si="42"/>
        <v>19355011610211</v>
      </c>
      <c r="B1399" s="455" t="str">
        <f>VLOOKUP(LEFT($C$3:$C$2600,3),Table!$D$2:$E$88,2,FALSE)</f>
        <v>3rd Party Contracted Metal</v>
      </c>
      <c r="C1399" s="455" t="str">
        <f t="shared" si="43"/>
        <v>5011610211</v>
      </c>
      <c r="D1399" s="455" t="e">
        <f>VLOOKUP(G1399,Table!$G$3:$H$21,2,FALSE)</f>
        <v>#N/A</v>
      </c>
      <c r="E1399" s="452" t="s">
        <v>902</v>
      </c>
      <c r="F1399" s="452" t="s">
        <v>1655</v>
      </c>
      <c r="G1399" s="452" t="s">
        <v>1797</v>
      </c>
      <c r="H1399" s="452" t="s">
        <v>1798</v>
      </c>
      <c r="I1399" s="453" t="s">
        <v>844</v>
      </c>
      <c r="J1399" s="453">
        <v>703180.49</v>
      </c>
      <c r="K1399" s="461">
        <v>294137.88</v>
      </c>
      <c r="L1399" s="461">
        <v>234550.61</v>
      </c>
      <c r="M1399" s="461">
        <v>174492</v>
      </c>
      <c r="N1399" s="461">
        <v>0</v>
      </c>
      <c r="O1399" s="461">
        <v>0</v>
      </c>
      <c r="P1399" s="461">
        <v>0</v>
      </c>
      <c r="Q1399" s="461">
        <v>0</v>
      </c>
      <c r="R1399" s="461">
        <v>0</v>
      </c>
      <c r="S1399" s="461">
        <v>0</v>
      </c>
      <c r="T1399" s="461">
        <v>0</v>
      </c>
      <c r="U1399" s="461">
        <v>0</v>
      </c>
      <c r="V1399" s="461">
        <v>0</v>
      </c>
    </row>
    <row r="1400" spans="1:22" s="455" customFormat="1" hidden="1">
      <c r="A1400" s="455" t="str">
        <f t="shared" si="42"/>
        <v>19355011610311</v>
      </c>
      <c r="B1400" s="455" t="str">
        <f>VLOOKUP(LEFT($C$3:$C$2600,3),Table!$D$2:$E$88,2,FALSE)</f>
        <v>3rd Party Contracted Metal</v>
      </c>
      <c r="C1400" s="455" t="str">
        <f t="shared" si="43"/>
        <v>5011610311</v>
      </c>
      <c r="D1400" s="455" t="e">
        <f>VLOOKUP(G1400,Table!$G$3:$H$21,2,FALSE)</f>
        <v>#N/A</v>
      </c>
      <c r="E1400" s="452" t="s">
        <v>902</v>
      </c>
      <c r="F1400" s="452" t="s">
        <v>1655</v>
      </c>
      <c r="G1400" s="452" t="s">
        <v>1799</v>
      </c>
      <c r="H1400" s="452" t="s">
        <v>2581</v>
      </c>
      <c r="I1400" s="453" t="s">
        <v>844</v>
      </c>
      <c r="J1400" s="453">
        <v>388242.22</v>
      </c>
      <c r="K1400" s="461">
        <v>157934</v>
      </c>
      <c r="L1400" s="461">
        <v>222791</v>
      </c>
      <c r="M1400" s="461">
        <v>7517.22</v>
      </c>
      <c r="N1400" s="461">
        <v>0</v>
      </c>
      <c r="O1400" s="461">
        <v>0</v>
      </c>
      <c r="P1400" s="461">
        <v>0</v>
      </c>
      <c r="Q1400" s="461">
        <v>0</v>
      </c>
      <c r="R1400" s="461">
        <v>0</v>
      </c>
      <c r="S1400" s="461">
        <v>0</v>
      </c>
      <c r="T1400" s="461">
        <v>0</v>
      </c>
      <c r="U1400" s="461">
        <v>0</v>
      </c>
      <c r="V1400" s="461">
        <v>0</v>
      </c>
    </row>
    <row r="1401" spans="1:22" s="455" customFormat="1" hidden="1">
      <c r="A1401" s="455" t="str">
        <f t="shared" si="42"/>
        <v>19355011610611</v>
      </c>
      <c r="B1401" s="455" t="str">
        <f>VLOOKUP(LEFT($C$3:$C$2600,3),Table!$D$2:$E$88,2,FALSE)</f>
        <v>3rd Party Contracted Metal</v>
      </c>
      <c r="C1401" s="455" t="str">
        <f t="shared" si="43"/>
        <v>5011610611</v>
      </c>
      <c r="D1401" s="455" t="e">
        <f>VLOOKUP(G1401,Table!$G$3:$H$21,2,FALSE)</f>
        <v>#N/A</v>
      </c>
      <c r="E1401" s="452" t="s">
        <v>902</v>
      </c>
      <c r="F1401" s="452" t="s">
        <v>1655</v>
      </c>
      <c r="G1401" s="452" t="s">
        <v>1800</v>
      </c>
      <c r="H1401" s="452" t="s">
        <v>1801</v>
      </c>
      <c r="I1401" s="453" t="s">
        <v>844</v>
      </c>
      <c r="J1401" s="453">
        <v>151746</v>
      </c>
      <c r="K1401" s="461">
        <v>146890</v>
      </c>
      <c r="L1401" s="461">
        <v>1713</v>
      </c>
      <c r="M1401" s="461">
        <v>3143</v>
      </c>
      <c r="N1401" s="461">
        <v>0</v>
      </c>
      <c r="O1401" s="461">
        <v>0</v>
      </c>
      <c r="P1401" s="461">
        <v>0</v>
      </c>
      <c r="Q1401" s="461">
        <v>0</v>
      </c>
      <c r="R1401" s="461">
        <v>0</v>
      </c>
      <c r="S1401" s="461">
        <v>0</v>
      </c>
      <c r="T1401" s="461">
        <v>0</v>
      </c>
      <c r="U1401" s="461">
        <v>0</v>
      </c>
      <c r="V1401" s="461">
        <v>0</v>
      </c>
    </row>
    <row r="1402" spans="1:22" s="455" customFormat="1" hidden="1">
      <c r="A1402" s="455" t="str">
        <f t="shared" si="42"/>
        <v>19355011610911</v>
      </c>
      <c r="B1402" s="455" t="str">
        <f>VLOOKUP(LEFT($C$3:$C$2600,3),Table!$D$2:$E$88,2,FALSE)</f>
        <v>3rd Party Contracted Metal</v>
      </c>
      <c r="C1402" s="455" t="str">
        <f t="shared" si="43"/>
        <v>5011610911</v>
      </c>
      <c r="D1402" s="455" t="e">
        <f>VLOOKUP(G1402,Table!$G$3:$H$21,2,FALSE)</f>
        <v>#N/A</v>
      </c>
      <c r="E1402" s="452" t="s">
        <v>902</v>
      </c>
      <c r="F1402" s="452" t="s">
        <v>1655</v>
      </c>
      <c r="G1402" s="452" t="s">
        <v>1804</v>
      </c>
      <c r="H1402" s="452" t="s">
        <v>1805</v>
      </c>
      <c r="I1402" s="453" t="s">
        <v>844</v>
      </c>
      <c r="J1402" s="453">
        <v>204058.59</v>
      </c>
      <c r="K1402" s="461">
        <v>43028</v>
      </c>
      <c r="L1402" s="461">
        <v>120277.41</v>
      </c>
      <c r="M1402" s="461">
        <v>40753.18</v>
      </c>
      <c r="N1402" s="461">
        <v>0</v>
      </c>
      <c r="O1402" s="461">
        <v>0</v>
      </c>
      <c r="P1402" s="461">
        <v>0</v>
      </c>
      <c r="Q1402" s="461">
        <v>0</v>
      </c>
      <c r="R1402" s="461">
        <v>0</v>
      </c>
      <c r="S1402" s="461">
        <v>0</v>
      </c>
      <c r="T1402" s="461">
        <v>0</v>
      </c>
      <c r="U1402" s="461">
        <v>0</v>
      </c>
      <c r="V1402" s="461">
        <v>0</v>
      </c>
    </row>
    <row r="1403" spans="1:22" s="455" customFormat="1" hidden="1">
      <c r="A1403" s="455" t="str">
        <f t="shared" si="42"/>
        <v>19355011611011</v>
      </c>
      <c r="B1403" s="455" t="str">
        <f>VLOOKUP(LEFT($C$3:$C$2600,3),Table!$D$2:$E$88,2,FALSE)</f>
        <v>3rd Party Contracted Metal</v>
      </c>
      <c r="C1403" s="455" t="str">
        <f t="shared" si="43"/>
        <v>5011611011</v>
      </c>
      <c r="D1403" s="455" t="e">
        <f>VLOOKUP(G1403,Table!$G$3:$H$21,2,FALSE)</f>
        <v>#N/A</v>
      </c>
      <c r="E1403" s="452" t="s">
        <v>902</v>
      </c>
      <c r="F1403" s="452" t="s">
        <v>1655</v>
      </c>
      <c r="G1403" s="452" t="s">
        <v>1806</v>
      </c>
      <c r="H1403" s="452" t="s">
        <v>1807</v>
      </c>
      <c r="I1403" s="453" t="s">
        <v>844</v>
      </c>
      <c r="J1403" s="453">
        <v>427125.38</v>
      </c>
      <c r="K1403" s="461">
        <v>258111.38</v>
      </c>
      <c r="L1403" s="461">
        <v>118372</v>
      </c>
      <c r="M1403" s="461">
        <v>50642</v>
      </c>
      <c r="N1403" s="461">
        <v>0</v>
      </c>
      <c r="O1403" s="461">
        <v>0</v>
      </c>
      <c r="P1403" s="461">
        <v>0</v>
      </c>
      <c r="Q1403" s="461">
        <v>0</v>
      </c>
      <c r="R1403" s="461">
        <v>0</v>
      </c>
      <c r="S1403" s="461">
        <v>0</v>
      </c>
      <c r="T1403" s="461">
        <v>0</v>
      </c>
      <c r="U1403" s="461">
        <v>0</v>
      </c>
      <c r="V1403" s="461">
        <v>0</v>
      </c>
    </row>
    <row r="1404" spans="1:22" s="455" customFormat="1" hidden="1">
      <c r="A1404" s="455" t="str">
        <f t="shared" si="42"/>
        <v>19355021010211</v>
      </c>
      <c r="B1404" s="455" t="str">
        <f>VLOOKUP(LEFT($C$3:$C$2600,3),Table!$D$2:$E$88,2,FALSE)</f>
        <v>3rd Party Contracted Metal</v>
      </c>
      <c r="C1404" s="455" t="str">
        <f t="shared" si="43"/>
        <v>5021010211</v>
      </c>
      <c r="D1404" s="455" t="e">
        <f>VLOOKUP(G1404,Table!$G$3:$H$21,2,FALSE)</f>
        <v>#N/A</v>
      </c>
      <c r="E1404" s="452" t="s">
        <v>902</v>
      </c>
      <c r="F1404" s="452" t="s">
        <v>1655</v>
      </c>
      <c r="G1404" s="452" t="s">
        <v>2582</v>
      </c>
      <c r="H1404" s="452" t="s">
        <v>2583</v>
      </c>
      <c r="I1404" s="453" t="s">
        <v>844</v>
      </c>
      <c r="J1404" s="453">
        <v>1787.3</v>
      </c>
      <c r="K1404" s="461">
        <v>0</v>
      </c>
      <c r="L1404" s="461">
        <v>0</v>
      </c>
      <c r="M1404" s="461">
        <v>1787.3</v>
      </c>
      <c r="N1404" s="461">
        <v>0</v>
      </c>
      <c r="O1404" s="461">
        <v>0</v>
      </c>
      <c r="P1404" s="461">
        <v>0</v>
      </c>
      <c r="Q1404" s="461">
        <v>0</v>
      </c>
      <c r="R1404" s="461">
        <v>0</v>
      </c>
      <c r="S1404" s="461">
        <v>0</v>
      </c>
      <c r="T1404" s="461">
        <v>0</v>
      </c>
      <c r="U1404" s="461">
        <v>0</v>
      </c>
      <c r="V1404" s="461">
        <v>0</v>
      </c>
    </row>
    <row r="1405" spans="1:22" s="455" customFormat="1" hidden="1">
      <c r="A1405" s="455" t="str">
        <f t="shared" si="42"/>
        <v>19355021030011</v>
      </c>
      <c r="B1405" s="455" t="str">
        <f>VLOOKUP(LEFT($C$3:$C$2600,3),Table!$D$2:$E$88,2,FALSE)</f>
        <v>3rd Party Contracted Metal</v>
      </c>
      <c r="C1405" s="455" t="str">
        <f t="shared" si="43"/>
        <v>5021030011</v>
      </c>
      <c r="D1405" s="455" t="e">
        <f>VLOOKUP(G1405,Table!$G$3:$H$21,2,FALSE)</f>
        <v>#N/A</v>
      </c>
      <c r="E1405" s="452" t="s">
        <v>902</v>
      </c>
      <c r="F1405" s="452" t="s">
        <v>1655</v>
      </c>
      <c r="G1405" s="452" t="s">
        <v>2584</v>
      </c>
      <c r="H1405" s="452" t="s">
        <v>2585</v>
      </c>
      <c r="I1405" s="453" t="s">
        <v>844</v>
      </c>
      <c r="J1405" s="453">
        <v>5313.26</v>
      </c>
      <c r="K1405" s="461">
        <v>0</v>
      </c>
      <c r="L1405" s="461">
        <v>1715.04</v>
      </c>
      <c r="M1405" s="461">
        <v>3598.22</v>
      </c>
      <c r="N1405" s="461">
        <v>0</v>
      </c>
      <c r="O1405" s="461">
        <v>0</v>
      </c>
      <c r="P1405" s="461">
        <v>0</v>
      </c>
      <c r="Q1405" s="461">
        <v>0</v>
      </c>
      <c r="R1405" s="461">
        <v>0</v>
      </c>
      <c r="S1405" s="461">
        <v>0</v>
      </c>
      <c r="T1405" s="461">
        <v>0</v>
      </c>
      <c r="U1405" s="461">
        <v>0</v>
      </c>
      <c r="V1405" s="461">
        <v>0</v>
      </c>
    </row>
    <row r="1406" spans="1:22" s="455" customFormat="1" hidden="1">
      <c r="A1406" s="455" t="str">
        <f t="shared" si="42"/>
        <v>19355021510520</v>
      </c>
      <c r="B1406" s="455" t="str">
        <f>VLOOKUP(LEFT($C$3:$C$2600,3),Table!$D$2:$E$88,2,FALSE)</f>
        <v>3rd Party Contracted Metal</v>
      </c>
      <c r="C1406" s="455" t="str">
        <f t="shared" si="43"/>
        <v>5021510520</v>
      </c>
      <c r="D1406" s="455" t="e">
        <f>VLOOKUP(G1406,Table!$G$3:$H$21,2,FALSE)</f>
        <v>#N/A</v>
      </c>
      <c r="E1406" s="452" t="s">
        <v>902</v>
      </c>
      <c r="F1406" s="452" t="s">
        <v>1655</v>
      </c>
      <c r="G1406" s="452" t="s">
        <v>1808</v>
      </c>
      <c r="H1406" s="452" t="s">
        <v>1809</v>
      </c>
      <c r="I1406" s="453" t="s">
        <v>844</v>
      </c>
      <c r="J1406" s="453">
        <v>885.94</v>
      </c>
      <c r="K1406" s="461">
        <v>281.22000000000003</v>
      </c>
      <c r="L1406" s="461">
        <v>345.36</v>
      </c>
      <c r="M1406" s="461">
        <v>259.36</v>
      </c>
      <c r="N1406" s="461">
        <v>0</v>
      </c>
      <c r="O1406" s="461">
        <v>0</v>
      </c>
      <c r="P1406" s="461">
        <v>0</v>
      </c>
      <c r="Q1406" s="461">
        <v>0</v>
      </c>
      <c r="R1406" s="461">
        <v>0</v>
      </c>
      <c r="S1406" s="461">
        <v>0</v>
      </c>
      <c r="T1406" s="461">
        <v>0</v>
      </c>
      <c r="U1406" s="461">
        <v>0</v>
      </c>
      <c r="V1406" s="461">
        <v>0</v>
      </c>
    </row>
    <row r="1407" spans="1:22" s="455" customFormat="1" hidden="1">
      <c r="A1407" s="455" t="str">
        <f t="shared" si="42"/>
        <v>19355021610211</v>
      </c>
      <c r="B1407" s="455" t="str">
        <f>VLOOKUP(LEFT($C$3:$C$2600,3),Table!$D$2:$E$88,2,FALSE)</f>
        <v>3rd Party Contracted Metal</v>
      </c>
      <c r="C1407" s="455" t="str">
        <f t="shared" si="43"/>
        <v>5021610211</v>
      </c>
      <c r="D1407" s="455" t="e">
        <f>VLOOKUP(G1407,Table!$G$3:$H$21,2,FALSE)</f>
        <v>#N/A</v>
      </c>
      <c r="E1407" s="452" t="s">
        <v>902</v>
      </c>
      <c r="F1407" s="452" t="s">
        <v>1655</v>
      </c>
      <c r="G1407" s="452" t="s">
        <v>2586</v>
      </c>
      <c r="H1407" s="452" t="s">
        <v>2587</v>
      </c>
      <c r="I1407" s="453" t="s">
        <v>844</v>
      </c>
      <c r="J1407" s="453">
        <v>1044.28</v>
      </c>
      <c r="K1407" s="461">
        <v>0</v>
      </c>
      <c r="L1407" s="461">
        <v>0</v>
      </c>
      <c r="M1407" s="461">
        <v>1044.28</v>
      </c>
      <c r="N1407" s="461">
        <v>0</v>
      </c>
      <c r="O1407" s="461">
        <v>0</v>
      </c>
      <c r="P1407" s="461">
        <v>0</v>
      </c>
      <c r="Q1407" s="461">
        <v>0</v>
      </c>
      <c r="R1407" s="461">
        <v>0</v>
      </c>
      <c r="S1407" s="461">
        <v>0</v>
      </c>
      <c r="T1407" s="461">
        <v>0</v>
      </c>
      <c r="U1407" s="461">
        <v>0</v>
      </c>
      <c r="V1407" s="461">
        <v>0</v>
      </c>
    </row>
    <row r="1408" spans="1:22" s="455" customFormat="1" hidden="1">
      <c r="A1408" s="455" t="str">
        <f t="shared" si="42"/>
        <v>19355021610611</v>
      </c>
      <c r="B1408" s="455" t="str">
        <f>VLOOKUP(LEFT($C$3:$C$2600,3),Table!$D$2:$E$88,2,FALSE)</f>
        <v>3rd Party Contracted Metal</v>
      </c>
      <c r="C1408" s="455" t="str">
        <f t="shared" si="43"/>
        <v>5021610611</v>
      </c>
      <c r="D1408" s="455" t="e">
        <f>VLOOKUP(G1408,Table!$G$3:$H$21,2,FALSE)</f>
        <v>#N/A</v>
      </c>
      <c r="E1408" s="452" t="s">
        <v>902</v>
      </c>
      <c r="F1408" s="452" t="s">
        <v>1655</v>
      </c>
      <c r="G1408" s="452" t="s">
        <v>1810</v>
      </c>
      <c r="H1408" s="452" t="s">
        <v>1811</v>
      </c>
      <c r="I1408" s="453" t="s">
        <v>844</v>
      </c>
      <c r="J1408" s="453">
        <v>37120</v>
      </c>
      <c r="K1408" s="461">
        <v>36644</v>
      </c>
      <c r="L1408" s="461">
        <v>-123</v>
      </c>
      <c r="M1408" s="461">
        <v>599</v>
      </c>
      <c r="N1408" s="461">
        <v>0</v>
      </c>
      <c r="O1408" s="461">
        <v>0</v>
      </c>
      <c r="P1408" s="461">
        <v>0</v>
      </c>
      <c r="Q1408" s="461">
        <v>0</v>
      </c>
      <c r="R1408" s="461">
        <v>0</v>
      </c>
      <c r="S1408" s="461">
        <v>0</v>
      </c>
      <c r="T1408" s="461">
        <v>0</v>
      </c>
      <c r="U1408" s="461">
        <v>0</v>
      </c>
      <c r="V1408" s="461">
        <v>0</v>
      </c>
    </row>
    <row r="1409" spans="1:22" s="455" customFormat="1" hidden="1">
      <c r="A1409" s="455" t="str">
        <f t="shared" si="42"/>
        <v>19355021610911</v>
      </c>
      <c r="B1409" s="455" t="str">
        <f>VLOOKUP(LEFT($C$3:$C$2600,3),Table!$D$2:$E$88,2,FALSE)</f>
        <v>3rd Party Contracted Metal</v>
      </c>
      <c r="C1409" s="455" t="str">
        <f t="shared" si="43"/>
        <v>5021610911</v>
      </c>
      <c r="D1409" s="455" t="e">
        <f>VLOOKUP(G1409,Table!$G$3:$H$21,2,FALSE)</f>
        <v>#N/A</v>
      </c>
      <c r="E1409" s="452" t="s">
        <v>902</v>
      </c>
      <c r="F1409" s="452" t="s">
        <v>1655</v>
      </c>
      <c r="G1409" s="452" t="s">
        <v>1814</v>
      </c>
      <c r="H1409" s="452" t="s">
        <v>1815</v>
      </c>
      <c r="I1409" s="453" t="s">
        <v>844</v>
      </c>
      <c r="J1409" s="453">
        <v>55346.51</v>
      </c>
      <c r="K1409" s="461">
        <v>13604</v>
      </c>
      <c r="L1409" s="461">
        <v>31389.66</v>
      </c>
      <c r="M1409" s="461">
        <v>10352.85</v>
      </c>
      <c r="N1409" s="461">
        <v>0</v>
      </c>
      <c r="O1409" s="461">
        <v>0</v>
      </c>
      <c r="P1409" s="461">
        <v>0</v>
      </c>
      <c r="Q1409" s="461">
        <v>0</v>
      </c>
      <c r="R1409" s="461">
        <v>0</v>
      </c>
      <c r="S1409" s="461">
        <v>0</v>
      </c>
      <c r="T1409" s="461">
        <v>0</v>
      </c>
      <c r="U1409" s="461">
        <v>0</v>
      </c>
      <c r="V1409" s="461">
        <v>0</v>
      </c>
    </row>
    <row r="1410" spans="1:22" s="455" customFormat="1" hidden="1">
      <c r="A1410" s="455" t="str">
        <f t="shared" si="42"/>
        <v>19355021611011</v>
      </c>
      <c r="B1410" s="455" t="str">
        <f>VLOOKUP(LEFT($C$3:$C$2600,3),Table!$D$2:$E$88,2,FALSE)</f>
        <v>3rd Party Contracted Metal</v>
      </c>
      <c r="C1410" s="455" t="str">
        <f t="shared" si="43"/>
        <v>5021611011</v>
      </c>
      <c r="D1410" s="455" t="e">
        <f>VLOOKUP(G1410,Table!$G$3:$H$21,2,FALSE)</f>
        <v>#N/A</v>
      </c>
      <c r="E1410" s="452" t="s">
        <v>902</v>
      </c>
      <c r="F1410" s="452" t="s">
        <v>1655</v>
      </c>
      <c r="G1410" s="452" t="s">
        <v>1816</v>
      </c>
      <c r="H1410" s="452" t="s">
        <v>1817</v>
      </c>
      <c r="I1410" s="453" t="s">
        <v>844</v>
      </c>
      <c r="J1410" s="453">
        <v>131537.74</v>
      </c>
      <c r="K1410" s="461">
        <v>85934.74</v>
      </c>
      <c r="L1410" s="461">
        <v>31288</v>
      </c>
      <c r="M1410" s="461">
        <v>14315</v>
      </c>
      <c r="N1410" s="461">
        <v>0</v>
      </c>
      <c r="O1410" s="461">
        <v>0</v>
      </c>
      <c r="P1410" s="461">
        <v>0</v>
      </c>
      <c r="Q1410" s="461">
        <v>0</v>
      </c>
      <c r="R1410" s="461">
        <v>0</v>
      </c>
      <c r="S1410" s="461">
        <v>0</v>
      </c>
      <c r="T1410" s="461">
        <v>0</v>
      </c>
      <c r="U1410" s="461">
        <v>0</v>
      </c>
      <c r="V1410" s="461">
        <v>0</v>
      </c>
    </row>
    <row r="1411" spans="1:22" s="455" customFormat="1" hidden="1">
      <c r="A1411" s="455" t="str">
        <f t="shared" si="42"/>
        <v>19355031005011</v>
      </c>
      <c r="B1411" s="455" t="str">
        <f>VLOOKUP(LEFT($C$3:$C$2600,3),Table!$D$2:$E$88,2,FALSE)</f>
        <v>Melt Loss</v>
      </c>
      <c r="C1411" s="455" t="str">
        <f t="shared" si="43"/>
        <v>5031005011</v>
      </c>
      <c r="D1411" s="455" t="e">
        <f>VLOOKUP(G1411,Table!$G$3:$H$21,2,FALSE)</f>
        <v>#N/A</v>
      </c>
      <c r="E1411" s="452" t="s">
        <v>902</v>
      </c>
      <c r="F1411" s="452" t="s">
        <v>1655</v>
      </c>
      <c r="G1411" s="452" t="s">
        <v>1818</v>
      </c>
      <c r="H1411" s="452" t="s">
        <v>1819</v>
      </c>
      <c r="I1411" s="453" t="s">
        <v>844</v>
      </c>
      <c r="J1411" s="453">
        <v>6915.79</v>
      </c>
      <c r="K1411" s="461">
        <v>1025.03</v>
      </c>
      <c r="L1411" s="461">
        <v>5092.5200000000004</v>
      </c>
      <c r="M1411" s="461">
        <v>798.24</v>
      </c>
      <c r="N1411" s="461">
        <v>0</v>
      </c>
      <c r="O1411" s="461">
        <v>0</v>
      </c>
      <c r="P1411" s="461">
        <v>0</v>
      </c>
      <c r="Q1411" s="461">
        <v>0</v>
      </c>
      <c r="R1411" s="461">
        <v>0</v>
      </c>
      <c r="S1411" s="461">
        <v>0</v>
      </c>
      <c r="T1411" s="461">
        <v>0</v>
      </c>
      <c r="U1411" s="461">
        <v>0</v>
      </c>
      <c r="V1411" s="461">
        <v>0</v>
      </c>
    </row>
    <row r="1412" spans="1:22" s="455" customFormat="1" hidden="1">
      <c r="A1412" s="455" t="str">
        <f t="shared" ref="A1412:A1475" si="44">F1412&amp;G1412</f>
        <v>19355031010211</v>
      </c>
      <c r="B1412" s="455" t="str">
        <f>VLOOKUP(LEFT($C$3:$C$2600,3),Table!$D$2:$E$88,2,FALSE)</f>
        <v>Melt Loss</v>
      </c>
      <c r="C1412" s="455" t="str">
        <f t="shared" ref="C1412:C1475" si="45">IF(ISNA(D1412),G1412,D1412)</f>
        <v>5031010211</v>
      </c>
      <c r="D1412" s="455" t="e">
        <f>VLOOKUP(G1412,Table!$G$3:$H$21,2,FALSE)</f>
        <v>#N/A</v>
      </c>
      <c r="E1412" s="452" t="s">
        <v>902</v>
      </c>
      <c r="F1412" s="452" t="s">
        <v>1655</v>
      </c>
      <c r="G1412" s="452" t="s">
        <v>1820</v>
      </c>
      <c r="H1412" s="452" t="s">
        <v>1821</v>
      </c>
      <c r="I1412" s="453" t="s">
        <v>844</v>
      </c>
      <c r="J1412" s="453">
        <v>91993.14</v>
      </c>
      <c r="K1412" s="461">
        <v>29356.83</v>
      </c>
      <c r="L1412" s="461">
        <v>34872.82</v>
      </c>
      <c r="M1412" s="461">
        <v>27763.49</v>
      </c>
      <c r="N1412" s="461">
        <v>0</v>
      </c>
      <c r="O1412" s="461">
        <v>0</v>
      </c>
      <c r="P1412" s="461">
        <v>0</v>
      </c>
      <c r="Q1412" s="461">
        <v>0</v>
      </c>
      <c r="R1412" s="461">
        <v>0</v>
      </c>
      <c r="S1412" s="461">
        <v>0</v>
      </c>
      <c r="T1412" s="461">
        <v>0</v>
      </c>
      <c r="U1412" s="461">
        <v>0</v>
      </c>
      <c r="V1412" s="461">
        <v>0</v>
      </c>
    </row>
    <row r="1413" spans="1:22" s="455" customFormat="1" hidden="1">
      <c r="A1413" s="455" t="str">
        <f t="shared" si="44"/>
        <v>19355031010311</v>
      </c>
      <c r="B1413" s="455" t="str">
        <f>VLOOKUP(LEFT($C$3:$C$2600,3),Table!$D$2:$E$88,2,FALSE)</f>
        <v>Melt Loss</v>
      </c>
      <c r="C1413" s="455" t="str">
        <f t="shared" si="45"/>
        <v>5031010311</v>
      </c>
      <c r="D1413" s="455" t="e">
        <f>VLOOKUP(G1413,Table!$G$3:$H$21,2,FALSE)</f>
        <v>#N/A</v>
      </c>
      <c r="E1413" s="452" t="s">
        <v>902</v>
      </c>
      <c r="F1413" s="452" t="s">
        <v>1655</v>
      </c>
      <c r="G1413" s="452" t="s">
        <v>1822</v>
      </c>
      <c r="H1413" s="452" t="s">
        <v>1823</v>
      </c>
      <c r="I1413" s="453" t="s">
        <v>844</v>
      </c>
      <c r="J1413" s="453">
        <v>4515</v>
      </c>
      <c r="K1413" s="461">
        <v>3268</v>
      </c>
      <c r="L1413" s="461">
        <v>1247</v>
      </c>
      <c r="M1413" s="461">
        <v>0</v>
      </c>
      <c r="N1413" s="461">
        <v>0</v>
      </c>
      <c r="O1413" s="461">
        <v>0</v>
      </c>
      <c r="P1413" s="461">
        <v>0</v>
      </c>
      <c r="Q1413" s="461">
        <v>0</v>
      </c>
      <c r="R1413" s="461">
        <v>0</v>
      </c>
      <c r="S1413" s="461">
        <v>0</v>
      </c>
      <c r="T1413" s="461">
        <v>0</v>
      </c>
      <c r="U1413" s="461">
        <v>0</v>
      </c>
      <c r="V1413" s="461">
        <v>0</v>
      </c>
    </row>
    <row r="1414" spans="1:22" s="455" customFormat="1" hidden="1">
      <c r="A1414" s="455" t="str">
        <f t="shared" si="44"/>
        <v>19355031030011</v>
      </c>
      <c r="B1414" s="455" t="str">
        <f>VLOOKUP(LEFT($C$3:$C$2600,3),Table!$D$2:$E$88,2,FALSE)</f>
        <v>Melt Loss</v>
      </c>
      <c r="C1414" s="455" t="str">
        <f t="shared" si="45"/>
        <v>5031030011</v>
      </c>
      <c r="D1414" s="455" t="e">
        <f>VLOOKUP(G1414,Table!$G$3:$H$21,2,FALSE)</f>
        <v>#N/A</v>
      </c>
      <c r="E1414" s="452" t="s">
        <v>902</v>
      </c>
      <c r="F1414" s="452" t="s">
        <v>1655</v>
      </c>
      <c r="G1414" s="452" t="s">
        <v>1824</v>
      </c>
      <c r="H1414" s="452" t="s">
        <v>1825</v>
      </c>
      <c r="I1414" s="453" t="s">
        <v>844</v>
      </c>
      <c r="J1414" s="453">
        <v>123264.56</v>
      </c>
      <c r="K1414" s="461">
        <v>15936.76</v>
      </c>
      <c r="L1414" s="461">
        <v>75154.44</v>
      </c>
      <c r="M1414" s="461">
        <v>32173.360000000001</v>
      </c>
      <c r="N1414" s="461">
        <v>0</v>
      </c>
      <c r="O1414" s="461">
        <v>0</v>
      </c>
      <c r="P1414" s="461">
        <v>0</v>
      </c>
      <c r="Q1414" s="461">
        <v>0</v>
      </c>
      <c r="R1414" s="461">
        <v>0</v>
      </c>
      <c r="S1414" s="461">
        <v>0</v>
      </c>
      <c r="T1414" s="461">
        <v>0</v>
      </c>
      <c r="U1414" s="461">
        <v>0</v>
      </c>
      <c r="V1414" s="461">
        <v>0</v>
      </c>
    </row>
    <row r="1415" spans="1:22" s="455" customFormat="1" hidden="1">
      <c r="A1415" s="455" t="str">
        <f t="shared" si="44"/>
        <v>19355031110011</v>
      </c>
      <c r="B1415" s="455" t="str">
        <f>VLOOKUP(LEFT($C$3:$C$2600,3),Table!$D$2:$E$88,2,FALSE)</f>
        <v>Melt Loss</v>
      </c>
      <c r="C1415" s="455" t="str">
        <f t="shared" si="45"/>
        <v>5031110011</v>
      </c>
      <c r="D1415" s="455" t="e">
        <f>VLOOKUP(G1415,Table!$G$3:$H$21,2,FALSE)</f>
        <v>#N/A</v>
      </c>
      <c r="E1415" s="452" t="s">
        <v>902</v>
      </c>
      <c r="F1415" s="452" t="s">
        <v>1655</v>
      </c>
      <c r="G1415" s="452" t="s">
        <v>1826</v>
      </c>
      <c r="H1415" s="452" t="s">
        <v>1827</v>
      </c>
      <c r="I1415" s="453" t="s">
        <v>844</v>
      </c>
      <c r="J1415" s="453">
        <v>16172</v>
      </c>
      <c r="K1415" s="461">
        <v>10396</v>
      </c>
      <c r="L1415" s="461">
        <v>2828</v>
      </c>
      <c r="M1415" s="461">
        <v>2948</v>
      </c>
      <c r="N1415" s="461">
        <v>0</v>
      </c>
      <c r="O1415" s="461">
        <v>0</v>
      </c>
      <c r="P1415" s="461">
        <v>0</v>
      </c>
      <c r="Q1415" s="461">
        <v>0</v>
      </c>
      <c r="R1415" s="461">
        <v>0</v>
      </c>
      <c r="S1415" s="461">
        <v>0</v>
      </c>
      <c r="T1415" s="461">
        <v>0</v>
      </c>
      <c r="U1415" s="461">
        <v>0</v>
      </c>
      <c r="V1415" s="461">
        <v>0</v>
      </c>
    </row>
    <row r="1416" spans="1:22" s="455" customFormat="1" hidden="1">
      <c r="A1416" s="455" t="str">
        <f t="shared" si="44"/>
        <v>19355031120011</v>
      </c>
      <c r="B1416" s="455" t="str">
        <f>VLOOKUP(LEFT($C$3:$C$2600,3),Table!$D$2:$E$88,2,FALSE)</f>
        <v>Melt Loss</v>
      </c>
      <c r="C1416" s="455" t="str">
        <f t="shared" si="45"/>
        <v>5031120011</v>
      </c>
      <c r="D1416" s="455" t="e">
        <f>VLOOKUP(G1416,Table!$G$3:$H$21,2,FALSE)</f>
        <v>#N/A</v>
      </c>
      <c r="E1416" s="452" t="s">
        <v>902</v>
      </c>
      <c r="F1416" s="452" t="s">
        <v>1655</v>
      </c>
      <c r="G1416" s="452" t="s">
        <v>1828</v>
      </c>
      <c r="H1416" s="452" t="s">
        <v>1829</v>
      </c>
      <c r="I1416" s="453" t="s">
        <v>844</v>
      </c>
      <c r="J1416" s="453">
        <v>5834</v>
      </c>
      <c r="K1416" s="461">
        <v>228</v>
      </c>
      <c r="L1416" s="461">
        <v>3292</v>
      </c>
      <c r="M1416" s="461">
        <v>2314</v>
      </c>
      <c r="N1416" s="461">
        <v>0</v>
      </c>
      <c r="O1416" s="461">
        <v>0</v>
      </c>
      <c r="P1416" s="461">
        <v>0</v>
      </c>
      <c r="Q1416" s="461">
        <v>0</v>
      </c>
      <c r="R1416" s="461">
        <v>0</v>
      </c>
      <c r="S1416" s="461">
        <v>0</v>
      </c>
      <c r="T1416" s="461">
        <v>0</v>
      </c>
      <c r="U1416" s="461">
        <v>0</v>
      </c>
      <c r="V1416" s="461">
        <v>0</v>
      </c>
    </row>
    <row r="1417" spans="1:22" s="455" customFormat="1" hidden="1">
      <c r="A1417" s="455" t="str">
        <f t="shared" si="44"/>
        <v>19355031130011</v>
      </c>
      <c r="B1417" s="455" t="str">
        <f>VLOOKUP(LEFT($C$3:$C$2600,3),Table!$D$2:$E$88,2,FALSE)</f>
        <v>Melt Loss</v>
      </c>
      <c r="C1417" s="455" t="str">
        <f t="shared" si="45"/>
        <v>5031130011</v>
      </c>
      <c r="D1417" s="455" t="e">
        <f>VLOOKUP(G1417,Table!$G$3:$H$21,2,FALSE)</f>
        <v>#N/A</v>
      </c>
      <c r="E1417" s="452" t="s">
        <v>902</v>
      </c>
      <c r="F1417" s="452" t="s">
        <v>1655</v>
      </c>
      <c r="G1417" s="452" t="s">
        <v>1830</v>
      </c>
      <c r="H1417" s="452" t="s">
        <v>1831</v>
      </c>
      <c r="I1417" s="453" t="s">
        <v>844</v>
      </c>
      <c r="J1417" s="453">
        <v>6212</v>
      </c>
      <c r="K1417" s="461">
        <v>920</v>
      </c>
      <c r="L1417" s="461">
        <v>3626</v>
      </c>
      <c r="M1417" s="461">
        <v>1666</v>
      </c>
      <c r="N1417" s="461">
        <v>0</v>
      </c>
      <c r="O1417" s="461">
        <v>0</v>
      </c>
      <c r="P1417" s="461">
        <v>0</v>
      </c>
      <c r="Q1417" s="461">
        <v>0</v>
      </c>
      <c r="R1417" s="461">
        <v>0</v>
      </c>
      <c r="S1417" s="461">
        <v>0</v>
      </c>
      <c r="T1417" s="461">
        <v>0</v>
      </c>
      <c r="U1417" s="461">
        <v>0</v>
      </c>
      <c r="V1417" s="461">
        <v>0</v>
      </c>
    </row>
    <row r="1418" spans="1:22" s="455" customFormat="1" hidden="1">
      <c r="A1418" s="455" t="str">
        <f t="shared" si="44"/>
        <v>19355031510520</v>
      </c>
      <c r="B1418" s="455" t="str">
        <f>VLOOKUP(LEFT($C$3:$C$2600,3),Table!$D$2:$E$88,2,FALSE)</f>
        <v>Melt Loss</v>
      </c>
      <c r="C1418" s="455" t="str">
        <f t="shared" si="45"/>
        <v>5031510520</v>
      </c>
      <c r="D1418" s="455" t="e">
        <f>VLOOKUP(G1418,Table!$G$3:$H$21,2,FALSE)</f>
        <v>#N/A</v>
      </c>
      <c r="E1418" s="452" t="s">
        <v>902</v>
      </c>
      <c r="F1418" s="452" t="s">
        <v>1655</v>
      </c>
      <c r="G1418" s="452" t="s">
        <v>1832</v>
      </c>
      <c r="H1418" s="452" t="s">
        <v>1833</v>
      </c>
      <c r="I1418" s="453" t="s">
        <v>844</v>
      </c>
      <c r="J1418" s="453">
        <v>20461.080000000002</v>
      </c>
      <c r="K1418" s="461">
        <v>4312.51</v>
      </c>
      <c r="L1418" s="461">
        <v>10563.05</v>
      </c>
      <c r="M1418" s="461">
        <v>5585.52</v>
      </c>
      <c r="N1418" s="461">
        <v>0</v>
      </c>
      <c r="O1418" s="461">
        <v>0</v>
      </c>
      <c r="P1418" s="461">
        <v>0</v>
      </c>
      <c r="Q1418" s="461">
        <v>0</v>
      </c>
      <c r="R1418" s="461">
        <v>0</v>
      </c>
      <c r="S1418" s="461">
        <v>0</v>
      </c>
      <c r="T1418" s="461">
        <v>0</v>
      </c>
      <c r="U1418" s="461">
        <v>0</v>
      </c>
      <c r="V1418" s="461">
        <v>0</v>
      </c>
    </row>
    <row r="1419" spans="1:22" s="455" customFormat="1" hidden="1">
      <c r="A1419" s="455" t="str">
        <f t="shared" si="44"/>
        <v>19355031610011</v>
      </c>
      <c r="B1419" s="455" t="str">
        <f>VLOOKUP(LEFT($C$3:$C$2600,3),Table!$D$2:$E$88,2,FALSE)</f>
        <v>Melt Loss</v>
      </c>
      <c r="C1419" s="455" t="str">
        <f t="shared" si="45"/>
        <v>5031610011</v>
      </c>
      <c r="D1419" s="455" t="e">
        <f>VLOOKUP(G1419,Table!$G$3:$H$21,2,FALSE)</f>
        <v>#N/A</v>
      </c>
      <c r="E1419" s="452" t="s">
        <v>902</v>
      </c>
      <c r="F1419" s="452" t="s">
        <v>1655</v>
      </c>
      <c r="G1419" s="452" t="s">
        <v>1834</v>
      </c>
      <c r="H1419" s="452" t="s">
        <v>1835</v>
      </c>
      <c r="I1419" s="453" t="s">
        <v>844</v>
      </c>
      <c r="J1419" s="453">
        <v>44648</v>
      </c>
      <c r="K1419" s="461">
        <v>20042</v>
      </c>
      <c r="L1419" s="461">
        <v>18365</v>
      </c>
      <c r="M1419" s="461">
        <v>6241</v>
      </c>
      <c r="N1419" s="461">
        <v>0</v>
      </c>
      <c r="O1419" s="461">
        <v>0</v>
      </c>
      <c r="P1419" s="461">
        <v>0</v>
      </c>
      <c r="Q1419" s="461">
        <v>0</v>
      </c>
      <c r="R1419" s="461">
        <v>0</v>
      </c>
      <c r="S1419" s="461">
        <v>0</v>
      </c>
      <c r="T1419" s="461">
        <v>0</v>
      </c>
      <c r="U1419" s="461">
        <v>0</v>
      </c>
      <c r="V1419" s="461">
        <v>0</v>
      </c>
    </row>
    <row r="1420" spans="1:22" s="455" customFormat="1" hidden="1">
      <c r="A1420" s="455" t="str">
        <f t="shared" si="44"/>
        <v>19355031610211</v>
      </c>
      <c r="B1420" s="455" t="str">
        <f>VLOOKUP(LEFT($C$3:$C$2600,3),Table!$D$2:$E$88,2,FALSE)</f>
        <v>Melt Loss</v>
      </c>
      <c r="C1420" s="455" t="str">
        <f t="shared" si="45"/>
        <v>5031610211</v>
      </c>
      <c r="D1420" s="455" t="e">
        <f>VLOOKUP(G1420,Table!$G$3:$H$21,2,FALSE)</f>
        <v>#N/A</v>
      </c>
      <c r="E1420" s="452" t="s">
        <v>902</v>
      </c>
      <c r="F1420" s="452" t="s">
        <v>1655</v>
      </c>
      <c r="G1420" s="452" t="s">
        <v>1836</v>
      </c>
      <c r="H1420" s="452" t="s">
        <v>1837</v>
      </c>
      <c r="I1420" s="453" t="s">
        <v>844</v>
      </c>
      <c r="J1420" s="453">
        <v>24220.84</v>
      </c>
      <c r="K1420" s="461">
        <v>8305.8700000000008</v>
      </c>
      <c r="L1420" s="461">
        <v>10687.42</v>
      </c>
      <c r="M1420" s="461">
        <v>5227.55</v>
      </c>
      <c r="N1420" s="461">
        <v>0</v>
      </c>
      <c r="O1420" s="461">
        <v>0</v>
      </c>
      <c r="P1420" s="461">
        <v>0</v>
      </c>
      <c r="Q1420" s="461">
        <v>0</v>
      </c>
      <c r="R1420" s="461">
        <v>0</v>
      </c>
      <c r="S1420" s="461">
        <v>0</v>
      </c>
      <c r="T1420" s="461">
        <v>0</v>
      </c>
      <c r="U1420" s="461">
        <v>0</v>
      </c>
      <c r="V1420" s="461">
        <v>0</v>
      </c>
    </row>
    <row r="1421" spans="1:22" s="455" customFormat="1" hidden="1">
      <c r="A1421" s="455" t="str">
        <f t="shared" si="44"/>
        <v>19355031610311</v>
      </c>
      <c r="B1421" s="455" t="str">
        <f>VLOOKUP(LEFT($C$3:$C$2600,3),Table!$D$2:$E$88,2,FALSE)</f>
        <v>Melt Loss</v>
      </c>
      <c r="C1421" s="455" t="str">
        <f t="shared" si="45"/>
        <v>5031610311</v>
      </c>
      <c r="D1421" s="455" t="e">
        <f>VLOOKUP(G1421,Table!$G$3:$H$21,2,FALSE)</f>
        <v>#N/A</v>
      </c>
      <c r="E1421" s="452" t="s">
        <v>902</v>
      </c>
      <c r="F1421" s="452" t="s">
        <v>1655</v>
      </c>
      <c r="G1421" s="452" t="s">
        <v>1838</v>
      </c>
      <c r="H1421" s="452" t="s">
        <v>2588</v>
      </c>
      <c r="I1421" s="453" t="s">
        <v>844</v>
      </c>
      <c r="J1421" s="453">
        <v>14836.26</v>
      </c>
      <c r="K1421" s="461">
        <v>4460</v>
      </c>
      <c r="L1421" s="461">
        <v>10151</v>
      </c>
      <c r="M1421" s="461">
        <v>225.26</v>
      </c>
      <c r="N1421" s="461">
        <v>0</v>
      </c>
      <c r="O1421" s="461">
        <v>0</v>
      </c>
      <c r="P1421" s="461">
        <v>0</v>
      </c>
      <c r="Q1421" s="461">
        <v>0</v>
      </c>
      <c r="R1421" s="461">
        <v>0</v>
      </c>
      <c r="S1421" s="461">
        <v>0</v>
      </c>
      <c r="T1421" s="461">
        <v>0</v>
      </c>
      <c r="U1421" s="461">
        <v>0</v>
      </c>
      <c r="V1421" s="461">
        <v>0</v>
      </c>
    </row>
    <row r="1422" spans="1:22" s="455" customFormat="1" hidden="1">
      <c r="A1422" s="455" t="str">
        <f t="shared" si="44"/>
        <v>19355041005011</v>
      </c>
      <c r="B1422" s="455" t="str">
        <f>VLOOKUP(LEFT($C$3:$C$2600,3),Table!$D$2:$E$88,2,FALSE)</f>
        <v>3rd Party Contracted Metal</v>
      </c>
      <c r="C1422" s="455" t="str">
        <f t="shared" si="45"/>
        <v>5041005011</v>
      </c>
      <c r="D1422" s="455" t="e">
        <f>VLOOKUP(G1422,Table!$G$3:$H$21,2,FALSE)</f>
        <v>#N/A</v>
      </c>
      <c r="E1422" s="452" t="s">
        <v>902</v>
      </c>
      <c r="F1422" s="452" t="s">
        <v>1655</v>
      </c>
      <c r="G1422" s="452" t="s">
        <v>1839</v>
      </c>
      <c r="H1422" s="452" t="s">
        <v>1840</v>
      </c>
      <c r="I1422" s="453" t="s">
        <v>844</v>
      </c>
      <c r="J1422" s="453">
        <v>-7639.74</v>
      </c>
      <c r="K1422" s="461">
        <v>-1842.42</v>
      </c>
      <c r="L1422" s="461">
        <v>-4774.21</v>
      </c>
      <c r="M1422" s="461">
        <v>-1023.11</v>
      </c>
      <c r="N1422" s="461">
        <v>0</v>
      </c>
      <c r="O1422" s="461">
        <v>0</v>
      </c>
      <c r="P1422" s="461">
        <v>0</v>
      </c>
      <c r="Q1422" s="461">
        <v>0</v>
      </c>
      <c r="R1422" s="461">
        <v>0</v>
      </c>
      <c r="S1422" s="461">
        <v>0</v>
      </c>
      <c r="T1422" s="461">
        <v>0</v>
      </c>
      <c r="U1422" s="461">
        <v>0</v>
      </c>
      <c r="V1422" s="461">
        <v>0</v>
      </c>
    </row>
    <row r="1423" spans="1:22" s="455" customFormat="1" hidden="1">
      <c r="A1423" s="455" t="str">
        <f t="shared" si="44"/>
        <v>19355041010211</v>
      </c>
      <c r="B1423" s="455" t="str">
        <f>VLOOKUP(LEFT($C$3:$C$2600,3),Table!$D$2:$E$88,2,FALSE)</f>
        <v>3rd Party Contracted Metal</v>
      </c>
      <c r="C1423" s="455" t="str">
        <f t="shared" si="45"/>
        <v>5041010211</v>
      </c>
      <c r="D1423" s="455" t="e">
        <f>VLOOKUP(G1423,Table!$G$3:$H$21,2,FALSE)</f>
        <v>#N/A</v>
      </c>
      <c r="E1423" s="452" t="s">
        <v>902</v>
      </c>
      <c r="F1423" s="452" t="s">
        <v>1655</v>
      </c>
      <c r="G1423" s="452" t="s">
        <v>1841</v>
      </c>
      <c r="H1423" s="452" t="s">
        <v>1842</v>
      </c>
      <c r="I1423" s="453" t="s">
        <v>844</v>
      </c>
      <c r="J1423" s="453">
        <v>-121045.78</v>
      </c>
      <c r="K1423" s="461">
        <v>-52769.56</v>
      </c>
      <c r="L1423" s="461">
        <v>-32692.799999999999</v>
      </c>
      <c r="M1423" s="461">
        <v>-35583.42</v>
      </c>
      <c r="N1423" s="461">
        <v>0</v>
      </c>
      <c r="O1423" s="461">
        <v>0</v>
      </c>
      <c r="P1423" s="461">
        <v>0</v>
      </c>
      <c r="Q1423" s="461">
        <v>0</v>
      </c>
      <c r="R1423" s="461">
        <v>0</v>
      </c>
      <c r="S1423" s="461">
        <v>0</v>
      </c>
      <c r="T1423" s="461">
        <v>0</v>
      </c>
      <c r="U1423" s="461">
        <v>0</v>
      </c>
      <c r="V1423" s="461">
        <v>0</v>
      </c>
    </row>
    <row r="1424" spans="1:22" s="455" customFormat="1" hidden="1">
      <c r="A1424" s="455" t="str">
        <f t="shared" si="44"/>
        <v>19355041010311</v>
      </c>
      <c r="B1424" s="455" t="str">
        <f>VLOOKUP(LEFT($C$3:$C$2600,3),Table!$D$2:$E$88,2,FALSE)</f>
        <v>3rd Party Contracted Metal</v>
      </c>
      <c r="C1424" s="455" t="str">
        <f t="shared" si="45"/>
        <v>5041010311</v>
      </c>
      <c r="D1424" s="455" t="e">
        <f>VLOOKUP(G1424,Table!$G$3:$H$21,2,FALSE)</f>
        <v>#N/A</v>
      </c>
      <c r="E1424" s="452" t="s">
        <v>902</v>
      </c>
      <c r="F1424" s="452" t="s">
        <v>1655</v>
      </c>
      <c r="G1424" s="452" t="s">
        <v>1843</v>
      </c>
      <c r="H1424" s="452" t="s">
        <v>1844</v>
      </c>
      <c r="I1424" s="453" t="s">
        <v>844</v>
      </c>
      <c r="J1424" s="453">
        <v>-7043</v>
      </c>
      <c r="K1424" s="461">
        <v>-5874</v>
      </c>
      <c r="L1424" s="461">
        <v>-1169</v>
      </c>
      <c r="M1424" s="461">
        <v>0</v>
      </c>
      <c r="N1424" s="461">
        <v>0</v>
      </c>
      <c r="O1424" s="461">
        <v>0</v>
      </c>
      <c r="P1424" s="461">
        <v>0</v>
      </c>
      <c r="Q1424" s="461">
        <v>0</v>
      </c>
      <c r="R1424" s="461">
        <v>0</v>
      </c>
      <c r="S1424" s="461">
        <v>0</v>
      </c>
      <c r="T1424" s="461">
        <v>0</v>
      </c>
      <c r="U1424" s="461">
        <v>0</v>
      </c>
      <c r="V1424" s="461">
        <v>0</v>
      </c>
    </row>
    <row r="1425" spans="1:22" s="455" customFormat="1" hidden="1">
      <c r="A1425" s="455" t="str">
        <f t="shared" si="44"/>
        <v>19355041030011</v>
      </c>
      <c r="B1425" s="455" t="str">
        <f>VLOOKUP(LEFT($C$3:$C$2600,3),Table!$D$2:$E$88,2,FALSE)</f>
        <v>3rd Party Contracted Metal</v>
      </c>
      <c r="C1425" s="455" t="str">
        <f t="shared" si="45"/>
        <v>5041030011</v>
      </c>
      <c r="D1425" s="455" t="e">
        <f>VLOOKUP(G1425,Table!$G$3:$H$21,2,FALSE)</f>
        <v>#N/A</v>
      </c>
      <c r="E1425" s="452" t="s">
        <v>902</v>
      </c>
      <c r="F1425" s="452" t="s">
        <v>1655</v>
      </c>
      <c r="G1425" s="452" t="s">
        <v>1845</v>
      </c>
      <c r="H1425" s="452" t="s">
        <v>1846</v>
      </c>
      <c r="I1425" s="453" t="s">
        <v>844</v>
      </c>
      <c r="J1425" s="453">
        <v>-140339.29</v>
      </c>
      <c r="K1425" s="461">
        <v>-28646.87</v>
      </c>
      <c r="L1425" s="461">
        <v>-70455.91</v>
      </c>
      <c r="M1425" s="461">
        <v>-41236.51</v>
      </c>
      <c r="N1425" s="461">
        <v>0</v>
      </c>
      <c r="O1425" s="461">
        <v>0</v>
      </c>
      <c r="P1425" s="461">
        <v>0</v>
      </c>
      <c r="Q1425" s="461">
        <v>0</v>
      </c>
      <c r="R1425" s="461">
        <v>0</v>
      </c>
      <c r="S1425" s="461">
        <v>0</v>
      </c>
      <c r="T1425" s="461">
        <v>0</v>
      </c>
      <c r="U1425" s="461">
        <v>0</v>
      </c>
      <c r="V1425" s="461">
        <v>0</v>
      </c>
    </row>
    <row r="1426" spans="1:22" s="455" customFormat="1" hidden="1">
      <c r="A1426" s="455" t="str">
        <f t="shared" si="44"/>
        <v>19355041110011</v>
      </c>
      <c r="B1426" s="455" t="str">
        <f>VLOOKUP(LEFT($C$3:$C$2600,3),Table!$D$2:$E$88,2,FALSE)</f>
        <v>3rd Party Contracted Metal</v>
      </c>
      <c r="C1426" s="455" t="str">
        <f t="shared" si="45"/>
        <v>5041110011</v>
      </c>
      <c r="D1426" s="455" t="e">
        <f>VLOOKUP(G1426,Table!$G$3:$H$21,2,FALSE)</f>
        <v>#N/A</v>
      </c>
      <c r="E1426" s="452" t="s">
        <v>902</v>
      </c>
      <c r="F1426" s="452" t="s">
        <v>1655</v>
      </c>
      <c r="G1426" s="452" t="s">
        <v>1847</v>
      </c>
      <c r="H1426" s="452" t="s">
        <v>1848</v>
      </c>
      <c r="I1426" s="453" t="s">
        <v>844</v>
      </c>
      <c r="J1426" s="453">
        <v>-25117</v>
      </c>
      <c r="K1426" s="461">
        <v>-18687</v>
      </c>
      <c r="L1426" s="461">
        <v>-2651</v>
      </c>
      <c r="M1426" s="461">
        <v>-3779</v>
      </c>
      <c r="N1426" s="461">
        <v>0</v>
      </c>
      <c r="O1426" s="461">
        <v>0</v>
      </c>
      <c r="P1426" s="461">
        <v>0</v>
      </c>
      <c r="Q1426" s="461">
        <v>0</v>
      </c>
      <c r="R1426" s="461">
        <v>0</v>
      </c>
      <c r="S1426" s="461">
        <v>0</v>
      </c>
      <c r="T1426" s="461">
        <v>0</v>
      </c>
      <c r="U1426" s="461">
        <v>0</v>
      </c>
      <c r="V1426" s="461">
        <v>0</v>
      </c>
    </row>
    <row r="1427" spans="1:22" s="455" customFormat="1" hidden="1">
      <c r="A1427" s="455" t="str">
        <f t="shared" si="44"/>
        <v>19355041120011</v>
      </c>
      <c r="B1427" s="455" t="str">
        <f>VLOOKUP(LEFT($C$3:$C$2600,3),Table!$D$2:$E$88,2,FALSE)</f>
        <v>3rd Party Contracted Metal</v>
      </c>
      <c r="C1427" s="455" t="str">
        <f t="shared" si="45"/>
        <v>5041120011</v>
      </c>
      <c r="D1427" s="455" t="e">
        <f>VLOOKUP(G1427,Table!$G$3:$H$21,2,FALSE)</f>
        <v>#N/A</v>
      </c>
      <c r="E1427" s="452" t="s">
        <v>902</v>
      </c>
      <c r="F1427" s="452" t="s">
        <v>1655</v>
      </c>
      <c r="G1427" s="452" t="s">
        <v>1849</v>
      </c>
      <c r="H1427" s="452" t="s">
        <v>1850</v>
      </c>
      <c r="I1427" s="453" t="s">
        <v>844</v>
      </c>
      <c r="J1427" s="453">
        <v>-6463</v>
      </c>
      <c r="K1427" s="461">
        <v>-410</v>
      </c>
      <c r="L1427" s="461">
        <v>-3086</v>
      </c>
      <c r="M1427" s="461">
        <v>-2967</v>
      </c>
      <c r="N1427" s="461">
        <v>0</v>
      </c>
      <c r="O1427" s="461">
        <v>0</v>
      </c>
      <c r="P1427" s="461">
        <v>0</v>
      </c>
      <c r="Q1427" s="461">
        <v>0</v>
      </c>
      <c r="R1427" s="461">
        <v>0</v>
      </c>
      <c r="S1427" s="461">
        <v>0</v>
      </c>
      <c r="T1427" s="461">
        <v>0</v>
      </c>
      <c r="U1427" s="461">
        <v>0</v>
      </c>
      <c r="V1427" s="461">
        <v>0</v>
      </c>
    </row>
    <row r="1428" spans="1:22" s="455" customFormat="1" hidden="1">
      <c r="A1428" s="455" t="str">
        <f t="shared" si="44"/>
        <v>19355041130011</v>
      </c>
      <c r="B1428" s="455" t="str">
        <f>VLOOKUP(LEFT($C$3:$C$2600,3),Table!$D$2:$E$88,2,FALSE)</f>
        <v>3rd Party Contracted Metal</v>
      </c>
      <c r="C1428" s="455" t="str">
        <f t="shared" si="45"/>
        <v>5041130011</v>
      </c>
      <c r="D1428" s="455" t="e">
        <f>VLOOKUP(G1428,Table!$G$3:$H$21,2,FALSE)</f>
        <v>#N/A</v>
      </c>
      <c r="E1428" s="452" t="s">
        <v>902</v>
      </c>
      <c r="F1428" s="452" t="s">
        <v>1655</v>
      </c>
      <c r="G1428" s="452" t="s">
        <v>1851</v>
      </c>
      <c r="H1428" s="452" t="s">
        <v>1852</v>
      </c>
      <c r="I1428" s="453" t="s">
        <v>844</v>
      </c>
      <c r="J1428" s="453">
        <v>-7188</v>
      </c>
      <c r="K1428" s="461">
        <v>-1654</v>
      </c>
      <c r="L1428" s="461">
        <v>-3399</v>
      </c>
      <c r="M1428" s="461">
        <v>-2135</v>
      </c>
      <c r="N1428" s="461">
        <v>0</v>
      </c>
      <c r="O1428" s="461">
        <v>0</v>
      </c>
      <c r="P1428" s="461">
        <v>0</v>
      </c>
      <c r="Q1428" s="461">
        <v>0</v>
      </c>
      <c r="R1428" s="461">
        <v>0</v>
      </c>
      <c r="S1428" s="461">
        <v>0</v>
      </c>
      <c r="T1428" s="461">
        <v>0</v>
      </c>
      <c r="U1428" s="461">
        <v>0</v>
      </c>
      <c r="V1428" s="461">
        <v>0</v>
      </c>
    </row>
    <row r="1429" spans="1:22" s="455" customFormat="1" hidden="1">
      <c r="A1429" s="455" t="str">
        <f t="shared" si="44"/>
        <v>19355041510520</v>
      </c>
      <c r="B1429" s="455" t="str">
        <f>VLOOKUP(LEFT($C$3:$C$2600,3),Table!$D$2:$E$88,2,FALSE)</f>
        <v>3rd Party Contracted Metal</v>
      </c>
      <c r="C1429" s="455" t="str">
        <f t="shared" si="45"/>
        <v>5041510520</v>
      </c>
      <c r="D1429" s="455" t="e">
        <f>VLOOKUP(G1429,Table!$G$3:$H$21,2,FALSE)</f>
        <v>#N/A</v>
      </c>
      <c r="E1429" s="452" t="s">
        <v>902</v>
      </c>
      <c r="F1429" s="452" t="s">
        <v>1655</v>
      </c>
      <c r="G1429" s="452" t="s">
        <v>1853</v>
      </c>
      <c r="H1429" s="452" t="s">
        <v>1854</v>
      </c>
      <c r="I1429" s="453" t="s">
        <v>844</v>
      </c>
      <c r="J1429" s="453">
        <v>-24813.360000000001</v>
      </c>
      <c r="K1429" s="461">
        <v>-7751.82</v>
      </c>
      <c r="L1429" s="461">
        <v>-9902.69</v>
      </c>
      <c r="M1429" s="461">
        <v>-7158.85</v>
      </c>
      <c r="N1429" s="461">
        <v>0</v>
      </c>
      <c r="O1429" s="461">
        <v>0</v>
      </c>
      <c r="P1429" s="461">
        <v>0</v>
      </c>
      <c r="Q1429" s="461">
        <v>0</v>
      </c>
      <c r="R1429" s="461">
        <v>0</v>
      </c>
      <c r="S1429" s="461">
        <v>0</v>
      </c>
      <c r="T1429" s="461">
        <v>0</v>
      </c>
      <c r="U1429" s="461">
        <v>0</v>
      </c>
      <c r="V1429" s="461">
        <v>0</v>
      </c>
    </row>
    <row r="1430" spans="1:22" s="455" customFormat="1" hidden="1">
      <c r="A1430" s="455" t="str">
        <f t="shared" si="44"/>
        <v>19355041610011</v>
      </c>
      <c r="B1430" s="455" t="str">
        <f>VLOOKUP(LEFT($C$3:$C$2600,3),Table!$D$2:$E$88,2,FALSE)</f>
        <v>3rd Party Contracted Metal</v>
      </c>
      <c r="C1430" s="455" t="str">
        <f t="shared" si="45"/>
        <v>5041610011</v>
      </c>
      <c r="D1430" s="455" t="e">
        <f>VLOOKUP(G1430,Table!$G$3:$H$21,2,FALSE)</f>
        <v>#N/A</v>
      </c>
      <c r="E1430" s="452" t="s">
        <v>902</v>
      </c>
      <c r="F1430" s="452" t="s">
        <v>1655</v>
      </c>
      <c r="G1430" s="452" t="s">
        <v>1855</v>
      </c>
      <c r="H1430" s="452" t="s">
        <v>1856</v>
      </c>
      <c r="I1430" s="453" t="s">
        <v>844</v>
      </c>
      <c r="J1430" s="453">
        <v>-61243</v>
      </c>
      <c r="K1430" s="461">
        <v>-36027</v>
      </c>
      <c r="L1430" s="461">
        <v>-17217</v>
      </c>
      <c r="M1430" s="461">
        <v>-7999</v>
      </c>
      <c r="N1430" s="461">
        <v>0</v>
      </c>
      <c r="O1430" s="461">
        <v>0</v>
      </c>
      <c r="P1430" s="461">
        <v>0</v>
      </c>
      <c r="Q1430" s="461">
        <v>0</v>
      </c>
      <c r="R1430" s="461">
        <v>0</v>
      </c>
      <c r="S1430" s="461">
        <v>0</v>
      </c>
      <c r="T1430" s="461">
        <v>0</v>
      </c>
      <c r="U1430" s="461">
        <v>0</v>
      </c>
      <c r="V1430" s="461">
        <v>0</v>
      </c>
    </row>
    <row r="1431" spans="1:22" s="455" customFormat="1" hidden="1">
      <c r="A1431" s="455" t="str">
        <f t="shared" si="44"/>
        <v>19355041610211</v>
      </c>
      <c r="B1431" s="455" t="str">
        <f>VLOOKUP(LEFT($C$3:$C$2600,3),Table!$D$2:$E$88,2,FALSE)</f>
        <v>3rd Party Contracted Metal</v>
      </c>
      <c r="C1431" s="455" t="str">
        <f t="shared" si="45"/>
        <v>5041610211</v>
      </c>
      <c r="D1431" s="455" t="e">
        <f>VLOOKUP(G1431,Table!$G$3:$H$21,2,FALSE)</f>
        <v>#N/A</v>
      </c>
      <c r="E1431" s="452" t="s">
        <v>902</v>
      </c>
      <c r="F1431" s="452" t="s">
        <v>1655</v>
      </c>
      <c r="G1431" s="452" t="s">
        <v>1857</v>
      </c>
      <c r="H1431" s="452" t="s">
        <v>1858</v>
      </c>
      <c r="I1431" s="453" t="s">
        <v>844</v>
      </c>
      <c r="J1431" s="453">
        <v>-31649.31</v>
      </c>
      <c r="K1431" s="461">
        <v>-14930.07</v>
      </c>
      <c r="L1431" s="461">
        <v>-10018.780000000001</v>
      </c>
      <c r="M1431" s="461">
        <v>-6700.46</v>
      </c>
      <c r="N1431" s="461">
        <v>0</v>
      </c>
      <c r="O1431" s="461">
        <v>0</v>
      </c>
      <c r="P1431" s="461">
        <v>0</v>
      </c>
      <c r="Q1431" s="461">
        <v>0</v>
      </c>
      <c r="R1431" s="461">
        <v>0</v>
      </c>
      <c r="S1431" s="461">
        <v>0</v>
      </c>
      <c r="T1431" s="461">
        <v>0</v>
      </c>
      <c r="U1431" s="461">
        <v>0</v>
      </c>
      <c r="V1431" s="461">
        <v>0</v>
      </c>
    </row>
    <row r="1432" spans="1:22" s="455" customFormat="1" hidden="1">
      <c r="A1432" s="455" t="str">
        <f t="shared" si="44"/>
        <v>19355041610311</v>
      </c>
      <c r="B1432" s="455" t="str">
        <f>VLOOKUP(LEFT($C$3:$C$2600,3),Table!$D$2:$E$88,2,FALSE)</f>
        <v>3rd Party Contracted Metal</v>
      </c>
      <c r="C1432" s="455" t="str">
        <f t="shared" si="45"/>
        <v>5041610311</v>
      </c>
      <c r="D1432" s="455" t="e">
        <f>VLOOKUP(G1432,Table!$G$3:$H$21,2,FALSE)</f>
        <v>#N/A</v>
      </c>
      <c r="E1432" s="452" t="s">
        <v>902</v>
      </c>
      <c r="F1432" s="452" t="s">
        <v>1655</v>
      </c>
      <c r="G1432" s="452" t="s">
        <v>1859</v>
      </c>
      <c r="H1432" s="452" t="s">
        <v>2589</v>
      </c>
      <c r="I1432" s="453" t="s">
        <v>844</v>
      </c>
      <c r="J1432" s="453">
        <v>-17822.599999999999</v>
      </c>
      <c r="K1432" s="461">
        <v>-8017</v>
      </c>
      <c r="L1432" s="461">
        <v>-9517</v>
      </c>
      <c r="M1432" s="461">
        <v>-288.60000000000002</v>
      </c>
      <c r="N1432" s="461">
        <v>0</v>
      </c>
      <c r="O1432" s="461">
        <v>0</v>
      </c>
      <c r="P1432" s="461">
        <v>0</v>
      </c>
      <c r="Q1432" s="461">
        <v>0</v>
      </c>
      <c r="R1432" s="461">
        <v>0</v>
      </c>
      <c r="S1432" s="461">
        <v>0</v>
      </c>
      <c r="T1432" s="461">
        <v>0</v>
      </c>
      <c r="U1432" s="461">
        <v>0</v>
      </c>
      <c r="V1432" s="461">
        <v>0</v>
      </c>
    </row>
    <row r="1433" spans="1:22" s="455" customFormat="1" hidden="1">
      <c r="A1433" s="455" t="str">
        <f t="shared" si="44"/>
        <v>19355051005011</v>
      </c>
      <c r="B1433" s="455" t="str">
        <f>VLOOKUP(LEFT($C$3:$C$2600,3),Table!$D$2:$E$88,2,FALSE)</f>
        <v>Dross Savings</v>
      </c>
      <c r="C1433" s="455" t="str">
        <f t="shared" si="45"/>
        <v>5051005011</v>
      </c>
      <c r="D1433" s="455" t="e">
        <f>VLOOKUP(G1433,Table!$G$3:$H$21,2,FALSE)</f>
        <v>#N/A</v>
      </c>
      <c r="E1433" s="452" t="s">
        <v>902</v>
      </c>
      <c r="F1433" s="452" t="s">
        <v>1655</v>
      </c>
      <c r="G1433" s="452" t="s">
        <v>1860</v>
      </c>
      <c r="H1433" s="452" t="s">
        <v>1861</v>
      </c>
      <c r="I1433" s="453" t="s">
        <v>844</v>
      </c>
      <c r="J1433" s="453">
        <v>-1976.78</v>
      </c>
      <c r="K1433" s="461">
        <v>-527.25</v>
      </c>
      <c r="L1433" s="461">
        <v>-1025.24</v>
      </c>
      <c r="M1433" s="461">
        <v>-424.29</v>
      </c>
      <c r="N1433" s="461">
        <v>0</v>
      </c>
      <c r="O1433" s="461">
        <v>0</v>
      </c>
      <c r="P1433" s="461">
        <v>0</v>
      </c>
      <c r="Q1433" s="461">
        <v>0</v>
      </c>
      <c r="R1433" s="461">
        <v>0</v>
      </c>
      <c r="S1433" s="461">
        <v>0</v>
      </c>
      <c r="T1433" s="461">
        <v>0</v>
      </c>
      <c r="U1433" s="461">
        <v>0</v>
      </c>
      <c r="V1433" s="461">
        <v>0</v>
      </c>
    </row>
    <row r="1434" spans="1:22" s="455" customFormat="1" hidden="1">
      <c r="A1434" s="455" t="str">
        <f t="shared" si="44"/>
        <v>19355051010211</v>
      </c>
      <c r="B1434" s="455" t="str">
        <f>VLOOKUP(LEFT($C$3:$C$2600,3),Table!$D$2:$E$88,2,FALSE)</f>
        <v>Dross Savings</v>
      </c>
      <c r="C1434" s="455" t="str">
        <f t="shared" si="45"/>
        <v>5051010211</v>
      </c>
      <c r="D1434" s="455" t="e">
        <f>VLOOKUP(G1434,Table!$G$3:$H$21,2,FALSE)</f>
        <v>#N/A</v>
      </c>
      <c r="E1434" s="452" t="s">
        <v>902</v>
      </c>
      <c r="F1434" s="452" t="s">
        <v>1655</v>
      </c>
      <c r="G1434" s="452" t="s">
        <v>1862</v>
      </c>
      <c r="H1434" s="452" t="s">
        <v>1863</v>
      </c>
      <c r="I1434" s="453" t="s">
        <v>844</v>
      </c>
      <c r="J1434" s="453">
        <v>-36877.599999999999</v>
      </c>
      <c r="K1434" s="461">
        <v>-15099.22</v>
      </c>
      <c r="L1434" s="461">
        <v>-7020.74</v>
      </c>
      <c r="M1434" s="461">
        <v>-14757.64</v>
      </c>
      <c r="N1434" s="461">
        <v>0</v>
      </c>
      <c r="O1434" s="461">
        <v>0</v>
      </c>
      <c r="P1434" s="461">
        <v>0</v>
      </c>
      <c r="Q1434" s="461">
        <v>0</v>
      </c>
      <c r="R1434" s="461">
        <v>0</v>
      </c>
      <c r="S1434" s="461">
        <v>0</v>
      </c>
      <c r="T1434" s="461">
        <v>0</v>
      </c>
      <c r="U1434" s="461">
        <v>0</v>
      </c>
      <c r="V1434" s="461">
        <v>0</v>
      </c>
    </row>
    <row r="1435" spans="1:22" s="455" customFormat="1" hidden="1">
      <c r="A1435" s="455" t="str">
        <f t="shared" si="44"/>
        <v>19355051010311</v>
      </c>
      <c r="B1435" s="455" t="str">
        <f>VLOOKUP(LEFT($C$3:$C$2600,3),Table!$D$2:$E$88,2,FALSE)</f>
        <v>Dross Savings</v>
      </c>
      <c r="C1435" s="455" t="str">
        <f t="shared" si="45"/>
        <v>5051010311</v>
      </c>
      <c r="D1435" s="455" t="e">
        <f>VLOOKUP(G1435,Table!$G$3:$H$21,2,FALSE)</f>
        <v>#N/A</v>
      </c>
      <c r="E1435" s="452" t="s">
        <v>902</v>
      </c>
      <c r="F1435" s="452" t="s">
        <v>1655</v>
      </c>
      <c r="G1435" s="452" t="s">
        <v>1864</v>
      </c>
      <c r="H1435" s="452" t="s">
        <v>1865</v>
      </c>
      <c r="I1435" s="453" t="s">
        <v>844</v>
      </c>
      <c r="J1435" s="453">
        <v>-1932</v>
      </c>
      <c r="K1435" s="461">
        <v>-1681</v>
      </c>
      <c r="L1435" s="461">
        <v>-251</v>
      </c>
      <c r="M1435" s="461">
        <v>0</v>
      </c>
      <c r="N1435" s="461">
        <v>0</v>
      </c>
      <c r="O1435" s="461">
        <v>0</v>
      </c>
      <c r="P1435" s="461">
        <v>0</v>
      </c>
      <c r="Q1435" s="461">
        <v>0</v>
      </c>
      <c r="R1435" s="461">
        <v>0</v>
      </c>
      <c r="S1435" s="461">
        <v>0</v>
      </c>
      <c r="T1435" s="461">
        <v>0</v>
      </c>
      <c r="U1435" s="461">
        <v>0</v>
      </c>
      <c r="V1435" s="461">
        <v>0</v>
      </c>
    </row>
    <row r="1436" spans="1:22" s="455" customFormat="1" hidden="1">
      <c r="A1436" s="455" t="str">
        <f t="shared" si="44"/>
        <v>19355051030011</v>
      </c>
      <c r="B1436" s="455" t="str">
        <f>VLOOKUP(LEFT($C$3:$C$2600,3),Table!$D$2:$E$88,2,FALSE)</f>
        <v>Dross Savings</v>
      </c>
      <c r="C1436" s="455" t="str">
        <f t="shared" si="45"/>
        <v>5051030011</v>
      </c>
      <c r="D1436" s="455" t="e">
        <f>VLOOKUP(G1436,Table!$G$3:$H$21,2,FALSE)</f>
        <v>#N/A</v>
      </c>
      <c r="E1436" s="452" t="s">
        <v>902</v>
      </c>
      <c r="F1436" s="452" t="s">
        <v>1655</v>
      </c>
      <c r="G1436" s="452" t="s">
        <v>1866</v>
      </c>
      <c r="H1436" s="452" t="s">
        <v>1867</v>
      </c>
      <c r="I1436" s="453" t="s">
        <v>844</v>
      </c>
      <c r="J1436" s="453">
        <v>-40430.03</v>
      </c>
      <c r="K1436" s="461">
        <v>-8197.02</v>
      </c>
      <c r="L1436" s="461">
        <v>-15130.91</v>
      </c>
      <c r="M1436" s="461">
        <v>-17102.099999999999</v>
      </c>
      <c r="N1436" s="461">
        <v>0</v>
      </c>
      <c r="O1436" s="461">
        <v>0</v>
      </c>
      <c r="P1436" s="461">
        <v>0</v>
      </c>
      <c r="Q1436" s="461">
        <v>0</v>
      </c>
      <c r="R1436" s="461">
        <v>0</v>
      </c>
      <c r="S1436" s="461">
        <v>0</v>
      </c>
      <c r="T1436" s="461">
        <v>0</v>
      </c>
      <c r="U1436" s="461">
        <v>0</v>
      </c>
      <c r="V1436" s="461">
        <v>0</v>
      </c>
    </row>
    <row r="1437" spans="1:22" s="455" customFormat="1" hidden="1">
      <c r="A1437" s="455" t="str">
        <f t="shared" si="44"/>
        <v>19355051110011</v>
      </c>
      <c r="B1437" s="455" t="str">
        <f>VLOOKUP(LEFT($C$3:$C$2600,3),Table!$D$2:$E$88,2,FALSE)</f>
        <v>Dross Savings</v>
      </c>
      <c r="C1437" s="455" t="str">
        <f t="shared" si="45"/>
        <v>5051110011</v>
      </c>
      <c r="D1437" s="455" t="e">
        <f>VLOOKUP(G1437,Table!$G$3:$H$21,2,FALSE)</f>
        <v>#N/A</v>
      </c>
      <c r="E1437" s="452" t="s">
        <v>902</v>
      </c>
      <c r="F1437" s="452" t="s">
        <v>1655</v>
      </c>
      <c r="G1437" s="452" t="s">
        <v>1868</v>
      </c>
      <c r="H1437" s="452" t="s">
        <v>1869</v>
      </c>
      <c r="I1437" s="453" t="s">
        <v>844</v>
      </c>
      <c r="J1437" s="453">
        <v>-7483</v>
      </c>
      <c r="K1437" s="461">
        <v>-5347</v>
      </c>
      <c r="L1437" s="461">
        <v>-569</v>
      </c>
      <c r="M1437" s="461">
        <v>-1567</v>
      </c>
      <c r="N1437" s="461">
        <v>0</v>
      </c>
      <c r="O1437" s="461">
        <v>0</v>
      </c>
      <c r="P1437" s="461">
        <v>0</v>
      </c>
      <c r="Q1437" s="461">
        <v>0</v>
      </c>
      <c r="R1437" s="461">
        <v>0</v>
      </c>
      <c r="S1437" s="461">
        <v>0</v>
      </c>
      <c r="T1437" s="461">
        <v>0</v>
      </c>
      <c r="U1437" s="461">
        <v>0</v>
      </c>
      <c r="V1437" s="461">
        <v>0</v>
      </c>
    </row>
    <row r="1438" spans="1:22" s="455" customFormat="1" hidden="1">
      <c r="A1438" s="455" t="str">
        <f t="shared" si="44"/>
        <v>19355051120011</v>
      </c>
      <c r="B1438" s="455" t="str">
        <f>VLOOKUP(LEFT($C$3:$C$2600,3),Table!$D$2:$E$88,2,FALSE)</f>
        <v>Dross Savings</v>
      </c>
      <c r="C1438" s="455" t="str">
        <f t="shared" si="45"/>
        <v>5051120011</v>
      </c>
      <c r="D1438" s="455" t="e">
        <f>VLOOKUP(G1438,Table!$G$3:$H$21,2,FALSE)</f>
        <v>#N/A</v>
      </c>
      <c r="E1438" s="452" t="s">
        <v>902</v>
      </c>
      <c r="F1438" s="452" t="s">
        <v>1655</v>
      </c>
      <c r="G1438" s="452" t="s">
        <v>1870</v>
      </c>
      <c r="H1438" s="452" t="s">
        <v>1871</v>
      </c>
      <c r="I1438" s="453" t="s">
        <v>844</v>
      </c>
      <c r="J1438" s="453">
        <v>-2010</v>
      </c>
      <c r="K1438" s="461">
        <v>-117</v>
      </c>
      <c r="L1438" s="461">
        <v>-663</v>
      </c>
      <c r="M1438" s="461">
        <v>-1230</v>
      </c>
      <c r="N1438" s="461">
        <v>0</v>
      </c>
      <c r="O1438" s="461">
        <v>0</v>
      </c>
      <c r="P1438" s="461">
        <v>0</v>
      </c>
      <c r="Q1438" s="461">
        <v>0</v>
      </c>
      <c r="R1438" s="461">
        <v>0</v>
      </c>
      <c r="S1438" s="461">
        <v>0</v>
      </c>
      <c r="T1438" s="461">
        <v>0</v>
      </c>
      <c r="U1438" s="461">
        <v>0</v>
      </c>
      <c r="V1438" s="461">
        <v>0</v>
      </c>
    </row>
    <row r="1439" spans="1:22" s="455" customFormat="1" hidden="1">
      <c r="A1439" s="455" t="str">
        <f t="shared" si="44"/>
        <v>19355051130011</v>
      </c>
      <c r="B1439" s="455" t="str">
        <f>VLOOKUP(LEFT($C$3:$C$2600,3),Table!$D$2:$E$88,2,FALSE)</f>
        <v>Dross Savings</v>
      </c>
      <c r="C1439" s="455" t="str">
        <f t="shared" si="45"/>
        <v>5051130011</v>
      </c>
      <c r="D1439" s="455" t="e">
        <f>VLOOKUP(G1439,Table!$G$3:$H$21,2,FALSE)</f>
        <v>#N/A</v>
      </c>
      <c r="E1439" s="452" t="s">
        <v>902</v>
      </c>
      <c r="F1439" s="452" t="s">
        <v>1655</v>
      </c>
      <c r="G1439" s="452" t="s">
        <v>1872</v>
      </c>
      <c r="H1439" s="452" t="s">
        <v>1873</v>
      </c>
      <c r="I1439" s="453" t="s">
        <v>844</v>
      </c>
      <c r="J1439" s="453">
        <v>-2089</v>
      </c>
      <c r="K1439" s="461">
        <v>-473</v>
      </c>
      <c r="L1439" s="461">
        <v>-730</v>
      </c>
      <c r="M1439" s="461">
        <v>-886</v>
      </c>
      <c r="N1439" s="461">
        <v>0</v>
      </c>
      <c r="O1439" s="461">
        <v>0</v>
      </c>
      <c r="P1439" s="461">
        <v>0</v>
      </c>
      <c r="Q1439" s="461">
        <v>0</v>
      </c>
      <c r="R1439" s="461">
        <v>0</v>
      </c>
      <c r="S1439" s="461">
        <v>0</v>
      </c>
      <c r="T1439" s="461">
        <v>0</v>
      </c>
      <c r="U1439" s="461">
        <v>0</v>
      </c>
      <c r="V1439" s="461">
        <v>0</v>
      </c>
    </row>
    <row r="1440" spans="1:22" s="455" customFormat="1" hidden="1">
      <c r="A1440" s="455" t="str">
        <f t="shared" si="44"/>
        <v>19355051510520</v>
      </c>
      <c r="B1440" s="455" t="str">
        <f>VLOOKUP(LEFT($C$3:$C$2600,3),Table!$D$2:$E$88,2,FALSE)</f>
        <v>Dross Savings</v>
      </c>
      <c r="C1440" s="455" t="str">
        <f t="shared" si="45"/>
        <v>5051510520</v>
      </c>
      <c r="D1440" s="455" t="e">
        <f>VLOOKUP(G1440,Table!$G$3:$H$21,2,FALSE)</f>
        <v>#N/A</v>
      </c>
      <c r="E1440" s="452" t="s">
        <v>902</v>
      </c>
      <c r="F1440" s="452" t="s">
        <v>1655</v>
      </c>
      <c r="G1440" s="452" t="s">
        <v>1874</v>
      </c>
      <c r="H1440" s="452" t="s">
        <v>1875</v>
      </c>
      <c r="I1440" s="453" t="s">
        <v>844</v>
      </c>
      <c r="J1440" s="453">
        <v>-7313.87</v>
      </c>
      <c r="K1440" s="461">
        <v>-2218.11</v>
      </c>
      <c r="L1440" s="461">
        <v>-2126.69</v>
      </c>
      <c r="M1440" s="461">
        <v>-2969.07</v>
      </c>
      <c r="N1440" s="461">
        <v>0</v>
      </c>
      <c r="O1440" s="461">
        <v>0</v>
      </c>
      <c r="P1440" s="461">
        <v>0</v>
      </c>
      <c r="Q1440" s="461">
        <v>0</v>
      </c>
      <c r="R1440" s="461">
        <v>0</v>
      </c>
      <c r="S1440" s="461">
        <v>0</v>
      </c>
      <c r="T1440" s="461">
        <v>0</v>
      </c>
      <c r="U1440" s="461">
        <v>0</v>
      </c>
      <c r="V1440" s="461">
        <v>0</v>
      </c>
    </row>
    <row r="1441" spans="1:22" s="455" customFormat="1" hidden="1">
      <c r="A1441" s="455" t="str">
        <f t="shared" si="44"/>
        <v>19355051610011</v>
      </c>
      <c r="B1441" s="455" t="str">
        <f>VLOOKUP(LEFT($C$3:$C$2600,3),Table!$D$2:$E$88,2,FALSE)</f>
        <v>Dross Savings</v>
      </c>
      <c r="C1441" s="455" t="str">
        <f t="shared" si="45"/>
        <v>5051610011</v>
      </c>
      <c r="D1441" s="455" t="e">
        <f>VLOOKUP(G1441,Table!$G$3:$H$21,2,FALSE)</f>
        <v>#N/A</v>
      </c>
      <c r="E1441" s="452" t="s">
        <v>902</v>
      </c>
      <c r="F1441" s="452" t="s">
        <v>1655</v>
      </c>
      <c r="G1441" s="452" t="s">
        <v>1876</v>
      </c>
      <c r="H1441" s="452" t="s">
        <v>1877</v>
      </c>
      <c r="I1441" s="453" t="s">
        <v>844</v>
      </c>
      <c r="J1441" s="453">
        <v>-17325</v>
      </c>
      <c r="K1441" s="461">
        <v>-10309</v>
      </c>
      <c r="L1441" s="461">
        <v>-3698</v>
      </c>
      <c r="M1441" s="461">
        <v>-3318</v>
      </c>
      <c r="N1441" s="461">
        <v>0</v>
      </c>
      <c r="O1441" s="461">
        <v>0</v>
      </c>
      <c r="P1441" s="461">
        <v>0</v>
      </c>
      <c r="Q1441" s="461">
        <v>0</v>
      </c>
      <c r="R1441" s="461">
        <v>0</v>
      </c>
      <c r="S1441" s="461">
        <v>0</v>
      </c>
      <c r="T1441" s="461">
        <v>0</v>
      </c>
      <c r="U1441" s="461">
        <v>0</v>
      </c>
      <c r="V1441" s="461">
        <v>0</v>
      </c>
    </row>
    <row r="1442" spans="1:22" s="455" customFormat="1" hidden="1">
      <c r="A1442" s="455" t="str">
        <f t="shared" si="44"/>
        <v>19355051610211</v>
      </c>
      <c r="B1442" s="455" t="str">
        <f>VLOOKUP(LEFT($C$3:$C$2600,3),Table!$D$2:$E$88,2,FALSE)</f>
        <v>Dross Savings</v>
      </c>
      <c r="C1442" s="455" t="str">
        <f t="shared" si="45"/>
        <v>5051610211</v>
      </c>
      <c r="D1442" s="455" t="e">
        <f>VLOOKUP(G1442,Table!$G$3:$H$21,2,FALSE)</f>
        <v>#N/A</v>
      </c>
      <c r="E1442" s="452" t="s">
        <v>902</v>
      </c>
      <c r="F1442" s="452" t="s">
        <v>1655</v>
      </c>
      <c r="G1442" s="452" t="s">
        <v>1878</v>
      </c>
      <c r="H1442" s="452" t="s">
        <v>1879</v>
      </c>
      <c r="I1442" s="453" t="s">
        <v>844</v>
      </c>
      <c r="J1442" s="453">
        <v>-9202.19</v>
      </c>
      <c r="K1442" s="461">
        <v>-4272.03</v>
      </c>
      <c r="L1442" s="461">
        <v>-2151.5500000000002</v>
      </c>
      <c r="M1442" s="461">
        <v>-2778.61</v>
      </c>
      <c r="N1442" s="461">
        <v>0</v>
      </c>
      <c r="O1442" s="461">
        <v>0</v>
      </c>
      <c r="P1442" s="461">
        <v>0</v>
      </c>
      <c r="Q1442" s="461">
        <v>0</v>
      </c>
      <c r="R1442" s="461">
        <v>0</v>
      </c>
      <c r="S1442" s="461">
        <v>0</v>
      </c>
      <c r="T1442" s="461">
        <v>0</v>
      </c>
      <c r="U1442" s="461">
        <v>0</v>
      </c>
      <c r="V1442" s="461">
        <v>0</v>
      </c>
    </row>
    <row r="1443" spans="1:22" s="455" customFormat="1" hidden="1">
      <c r="A1443" s="455" t="str">
        <f t="shared" si="44"/>
        <v>19355051610311</v>
      </c>
      <c r="B1443" s="455" t="str">
        <f>VLOOKUP(LEFT($C$3:$C$2600,3),Table!$D$2:$E$88,2,FALSE)</f>
        <v>Dross Savings</v>
      </c>
      <c r="C1443" s="455" t="str">
        <f t="shared" si="45"/>
        <v>5051610311</v>
      </c>
      <c r="D1443" s="455" t="e">
        <f>VLOOKUP(G1443,Table!$G$3:$H$21,2,FALSE)</f>
        <v>#N/A</v>
      </c>
      <c r="E1443" s="452" t="s">
        <v>902</v>
      </c>
      <c r="F1443" s="452" t="s">
        <v>1655</v>
      </c>
      <c r="G1443" s="452" t="s">
        <v>1880</v>
      </c>
      <c r="H1443" s="452" t="s">
        <v>2590</v>
      </c>
      <c r="I1443" s="453" t="s">
        <v>844</v>
      </c>
      <c r="J1443" s="453">
        <v>-4457.49</v>
      </c>
      <c r="K1443" s="461">
        <v>-2294</v>
      </c>
      <c r="L1443" s="461">
        <v>-2044</v>
      </c>
      <c r="M1443" s="461">
        <v>-119.49</v>
      </c>
      <c r="N1443" s="461">
        <v>0</v>
      </c>
      <c r="O1443" s="461">
        <v>0</v>
      </c>
      <c r="P1443" s="461">
        <v>0</v>
      </c>
      <c r="Q1443" s="461">
        <v>0</v>
      </c>
      <c r="R1443" s="461">
        <v>0</v>
      </c>
      <c r="S1443" s="461">
        <v>0</v>
      </c>
      <c r="T1443" s="461">
        <v>0</v>
      </c>
      <c r="U1443" s="461">
        <v>0</v>
      </c>
      <c r="V1443" s="461">
        <v>0</v>
      </c>
    </row>
    <row r="1444" spans="1:22" s="455" customFormat="1" hidden="1">
      <c r="A1444" s="455" t="str">
        <f t="shared" si="44"/>
        <v>19355111005011</v>
      </c>
      <c r="B1444" s="455" t="str">
        <f>VLOOKUP(LEFT($C$3:$C$2600,3),Table!$D$2:$E$88,2,FALSE)</f>
        <v>Direct cost</v>
      </c>
      <c r="C1444" s="455" t="str">
        <f t="shared" si="45"/>
        <v>5111005011</v>
      </c>
      <c r="D1444" s="455" t="e">
        <f>VLOOKUP(G1444,Table!$G$3:$H$21,2,FALSE)</f>
        <v>#N/A</v>
      </c>
      <c r="E1444" s="452" t="s">
        <v>902</v>
      </c>
      <c r="F1444" s="452" t="s">
        <v>1655</v>
      </c>
      <c r="G1444" s="452" t="s">
        <v>1881</v>
      </c>
      <c r="H1444" s="452" t="s">
        <v>1882</v>
      </c>
      <c r="I1444" s="453" t="s">
        <v>844</v>
      </c>
      <c r="J1444" s="453">
        <v>22687.33</v>
      </c>
      <c r="K1444" s="461">
        <v>5177.5600000000004</v>
      </c>
      <c r="L1444" s="461">
        <v>13980.33</v>
      </c>
      <c r="M1444" s="461">
        <v>3529.44</v>
      </c>
      <c r="N1444" s="461">
        <v>0</v>
      </c>
      <c r="O1444" s="461">
        <v>0</v>
      </c>
      <c r="P1444" s="461">
        <v>0</v>
      </c>
      <c r="Q1444" s="461">
        <v>0</v>
      </c>
      <c r="R1444" s="461">
        <v>0</v>
      </c>
      <c r="S1444" s="461">
        <v>0</v>
      </c>
      <c r="T1444" s="461">
        <v>0</v>
      </c>
      <c r="U1444" s="461">
        <v>0</v>
      </c>
      <c r="V1444" s="461">
        <v>0</v>
      </c>
    </row>
    <row r="1445" spans="1:22" s="455" customFormat="1" hidden="1">
      <c r="A1445" s="455" t="str">
        <f t="shared" si="44"/>
        <v>19355111010211</v>
      </c>
      <c r="B1445" s="455" t="str">
        <f>VLOOKUP(LEFT($C$3:$C$2600,3),Table!$D$2:$E$88,2,FALSE)</f>
        <v>Direct cost</v>
      </c>
      <c r="C1445" s="455" t="str">
        <f t="shared" si="45"/>
        <v>5111010211</v>
      </c>
      <c r="D1445" s="455" t="e">
        <f>VLOOKUP(G1445,Table!$G$3:$H$21,2,FALSE)</f>
        <v>#N/A</v>
      </c>
      <c r="E1445" s="452" t="s">
        <v>902</v>
      </c>
      <c r="F1445" s="452" t="s">
        <v>1655</v>
      </c>
      <c r="G1445" s="452" t="s">
        <v>1883</v>
      </c>
      <c r="H1445" s="452" t="s">
        <v>1884</v>
      </c>
      <c r="I1445" s="453" t="s">
        <v>844</v>
      </c>
      <c r="J1445" s="453">
        <v>367140.45</v>
      </c>
      <c r="K1445" s="461">
        <v>125721.89</v>
      </c>
      <c r="L1445" s="461">
        <v>104369.46</v>
      </c>
      <c r="M1445" s="461">
        <v>137049.1</v>
      </c>
      <c r="N1445" s="461">
        <v>0</v>
      </c>
      <c r="O1445" s="461">
        <v>0</v>
      </c>
      <c r="P1445" s="461">
        <v>0</v>
      </c>
      <c r="Q1445" s="461">
        <v>0</v>
      </c>
      <c r="R1445" s="461">
        <v>0</v>
      </c>
      <c r="S1445" s="461">
        <v>0</v>
      </c>
      <c r="T1445" s="461">
        <v>0</v>
      </c>
      <c r="U1445" s="461">
        <v>0</v>
      </c>
      <c r="V1445" s="461">
        <v>0</v>
      </c>
    </row>
    <row r="1446" spans="1:22" s="455" customFormat="1" hidden="1">
      <c r="A1446" s="455" t="str">
        <f t="shared" si="44"/>
        <v>19355111010311</v>
      </c>
      <c r="B1446" s="455" t="str">
        <f>VLOOKUP(LEFT($C$3:$C$2600,3),Table!$D$2:$E$88,2,FALSE)</f>
        <v>Direct cost</v>
      </c>
      <c r="C1446" s="455" t="str">
        <f t="shared" si="45"/>
        <v>5111010311</v>
      </c>
      <c r="D1446" s="455" t="e">
        <f>VLOOKUP(G1446,Table!$G$3:$H$21,2,FALSE)</f>
        <v>#N/A</v>
      </c>
      <c r="E1446" s="452" t="s">
        <v>902</v>
      </c>
      <c r="F1446" s="452" t="s">
        <v>1655</v>
      </c>
      <c r="G1446" s="452" t="s">
        <v>1885</v>
      </c>
      <c r="H1446" s="452" t="s">
        <v>1886</v>
      </c>
      <c r="I1446" s="453" t="s">
        <v>844</v>
      </c>
      <c r="J1446" s="453">
        <v>18236</v>
      </c>
      <c r="K1446" s="461">
        <v>13044</v>
      </c>
      <c r="L1446" s="461">
        <v>5192</v>
      </c>
      <c r="M1446" s="461">
        <v>0</v>
      </c>
      <c r="N1446" s="461">
        <v>0</v>
      </c>
      <c r="O1446" s="461">
        <v>0</v>
      </c>
      <c r="P1446" s="461">
        <v>0</v>
      </c>
      <c r="Q1446" s="461">
        <v>0</v>
      </c>
      <c r="R1446" s="461">
        <v>0</v>
      </c>
      <c r="S1446" s="461">
        <v>0</v>
      </c>
      <c r="T1446" s="461">
        <v>0</v>
      </c>
      <c r="U1446" s="461">
        <v>0</v>
      </c>
      <c r="V1446" s="461">
        <v>0</v>
      </c>
    </row>
    <row r="1447" spans="1:22" s="455" customFormat="1" hidden="1">
      <c r="A1447" s="455" t="str">
        <f t="shared" si="44"/>
        <v>19355111030011</v>
      </c>
      <c r="B1447" s="455" t="str">
        <f>VLOOKUP(LEFT($C$3:$C$2600,3),Table!$D$2:$E$88,2,FALSE)</f>
        <v>Direct cost</v>
      </c>
      <c r="C1447" s="455" t="str">
        <f t="shared" si="45"/>
        <v>5111030011</v>
      </c>
      <c r="D1447" s="455" t="e">
        <f>VLOOKUP(G1447,Table!$G$3:$H$21,2,FALSE)</f>
        <v>#N/A</v>
      </c>
      <c r="E1447" s="452" t="s">
        <v>902</v>
      </c>
      <c r="F1447" s="452" t="s">
        <v>1655</v>
      </c>
      <c r="G1447" s="452" t="s">
        <v>1887</v>
      </c>
      <c r="H1447" s="452" t="s">
        <v>1888</v>
      </c>
      <c r="I1447" s="453" t="s">
        <v>844</v>
      </c>
      <c r="J1447" s="453">
        <v>391777.38</v>
      </c>
      <c r="K1447" s="461">
        <v>65704.28</v>
      </c>
      <c r="L1447" s="461">
        <v>200202.72</v>
      </c>
      <c r="M1447" s="461">
        <v>125870.38</v>
      </c>
      <c r="N1447" s="461">
        <v>0</v>
      </c>
      <c r="O1447" s="461">
        <v>0</v>
      </c>
      <c r="P1447" s="461">
        <v>0</v>
      </c>
      <c r="Q1447" s="461">
        <v>0</v>
      </c>
      <c r="R1447" s="461">
        <v>0</v>
      </c>
      <c r="S1447" s="461">
        <v>0</v>
      </c>
      <c r="T1447" s="461">
        <v>0</v>
      </c>
      <c r="U1447" s="461">
        <v>0</v>
      </c>
      <c r="V1447" s="461">
        <v>0</v>
      </c>
    </row>
    <row r="1448" spans="1:22" s="455" customFormat="1" hidden="1">
      <c r="A1448" s="455" t="str">
        <f t="shared" si="44"/>
        <v>19355111110011</v>
      </c>
      <c r="B1448" s="455" t="str">
        <f>VLOOKUP(LEFT($C$3:$C$2600,3),Table!$D$2:$E$88,2,FALSE)</f>
        <v>Direct cost</v>
      </c>
      <c r="C1448" s="455" t="str">
        <f t="shared" si="45"/>
        <v>5111110011</v>
      </c>
      <c r="D1448" s="455" t="e">
        <f>VLOOKUP(G1448,Table!$G$3:$H$21,2,FALSE)</f>
        <v>#N/A</v>
      </c>
      <c r="E1448" s="452" t="s">
        <v>902</v>
      </c>
      <c r="F1448" s="452" t="s">
        <v>1655</v>
      </c>
      <c r="G1448" s="452" t="s">
        <v>1889</v>
      </c>
      <c r="H1448" s="452" t="s">
        <v>1890</v>
      </c>
      <c r="I1448" s="453" t="s">
        <v>844</v>
      </c>
      <c r="J1448" s="453">
        <v>111122</v>
      </c>
      <c r="K1448" s="461">
        <v>75252</v>
      </c>
      <c r="L1448" s="461">
        <v>17036</v>
      </c>
      <c r="M1448" s="461">
        <v>18834</v>
      </c>
      <c r="N1448" s="461">
        <v>0</v>
      </c>
      <c r="O1448" s="461">
        <v>0</v>
      </c>
      <c r="P1448" s="461">
        <v>0</v>
      </c>
      <c r="Q1448" s="461">
        <v>0</v>
      </c>
      <c r="R1448" s="461">
        <v>0</v>
      </c>
      <c r="S1448" s="461">
        <v>0</v>
      </c>
      <c r="T1448" s="461">
        <v>0</v>
      </c>
      <c r="U1448" s="461">
        <v>0</v>
      </c>
      <c r="V1448" s="461">
        <v>0</v>
      </c>
    </row>
    <row r="1449" spans="1:22" s="455" customFormat="1" hidden="1">
      <c r="A1449" s="455" t="str">
        <f t="shared" si="44"/>
        <v>19355111120011</v>
      </c>
      <c r="B1449" s="455" t="str">
        <f>VLOOKUP(LEFT($C$3:$C$2600,3),Table!$D$2:$E$88,2,FALSE)</f>
        <v>Direct cost</v>
      </c>
      <c r="C1449" s="455" t="str">
        <f t="shared" si="45"/>
        <v>5111120011</v>
      </c>
      <c r="D1449" s="455" t="e">
        <f>VLOOKUP(G1449,Table!$G$3:$H$21,2,FALSE)</f>
        <v>#N/A</v>
      </c>
      <c r="E1449" s="452" t="s">
        <v>902</v>
      </c>
      <c r="F1449" s="452" t="s">
        <v>1655</v>
      </c>
      <c r="G1449" s="452" t="s">
        <v>1891</v>
      </c>
      <c r="H1449" s="452" t="s">
        <v>1892</v>
      </c>
      <c r="I1449" s="453" t="s">
        <v>844</v>
      </c>
      <c r="J1449" s="453">
        <v>30414</v>
      </c>
      <c r="K1449" s="461">
        <v>1468</v>
      </c>
      <c r="L1449" s="461">
        <v>15647</v>
      </c>
      <c r="M1449" s="461">
        <v>13299</v>
      </c>
      <c r="N1449" s="461">
        <v>0</v>
      </c>
      <c r="O1449" s="461">
        <v>0</v>
      </c>
      <c r="P1449" s="461">
        <v>0</v>
      </c>
      <c r="Q1449" s="461">
        <v>0</v>
      </c>
      <c r="R1449" s="461">
        <v>0</v>
      </c>
      <c r="S1449" s="461">
        <v>0</v>
      </c>
      <c r="T1449" s="461">
        <v>0</v>
      </c>
      <c r="U1449" s="461">
        <v>0</v>
      </c>
      <c r="V1449" s="461">
        <v>0</v>
      </c>
    </row>
    <row r="1450" spans="1:22" s="455" customFormat="1" hidden="1">
      <c r="A1450" s="455" t="str">
        <f t="shared" si="44"/>
        <v>19355111130011</v>
      </c>
      <c r="B1450" s="455" t="str">
        <f>VLOOKUP(LEFT($C$3:$C$2600,3),Table!$D$2:$E$88,2,FALSE)</f>
        <v>Direct cost</v>
      </c>
      <c r="C1450" s="455" t="str">
        <f t="shared" si="45"/>
        <v>5111130011</v>
      </c>
      <c r="D1450" s="455" t="e">
        <f>VLOOKUP(G1450,Table!$G$3:$H$21,2,FALSE)</f>
        <v>#N/A</v>
      </c>
      <c r="E1450" s="452" t="s">
        <v>902</v>
      </c>
      <c r="F1450" s="452" t="s">
        <v>1655</v>
      </c>
      <c r="G1450" s="452" t="s">
        <v>1893</v>
      </c>
      <c r="H1450" s="452" t="s">
        <v>1894</v>
      </c>
      <c r="I1450" s="453" t="s">
        <v>844</v>
      </c>
      <c r="J1450" s="453">
        <v>32733</v>
      </c>
      <c r="K1450" s="461">
        <v>5922</v>
      </c>
      <c r="L1450" s="461">
        <v>17239</v>
      </c>
      <c r="M1450" s="461">
        <v>9572</v>
      </c>
      <c r="N1450" s="461">
        <v>0</v>
      </c>
      <c r="O1450" s="461">
        <v>0</v>
      </c>
      <c r="P1450" s="461">
        <v>0</v>
      </c>
      <c r="Q1450" s="461">
        <v>0</v>
      </c>
      <c r="R1450" s="461">
        <v>0</v>
      </c>
      <c r="S1450" s="461">
        <v>0</v>
      </c>
      <c r="T1450" s="461">
        <v>0</v>
      </c>
      <c r="U1450" s="461">
        <v>0</v>
      </c>
      <c r="V1450" s="461">
        <v>0</v>
      </c>
    </row>
    <row r="1451" spans="1:22" s="455" customFormat="1" hidden="1">
      <c r="A1451" s="455" t="str">
        <f t="shared" si="44"/>
        <v>19355111510520</v>
      </c>
      <c r="B1451" s="455" t="str">
        <f>VLOOKUP(LEFT($C$3:$C$2600,3),Table!$D$2:$E$88,2,FALSE)</f>
        <v>Direct cost</v>
      </c>
      <c r="C1451" s="455" t="str">
        <f t="shared" si="45"/>
        <v>5111510520</v>
      </c>
      <c r="D1451" s="455" t="e">
        <f>VLOOKUP(G1451,Table!$G$3:$H$21,2,FALSE)</f>
        <v>#N/A</v>
      </c>
      <c r="E1451" s="452" t="s">
        <v>902</v>
      </c>
      <c r="F1451" s="452" t="s">
        <v>1655</v>
      </c>
      <c r="G1451" s="452" t="s">
        <v>1895</v>
      </c>
      <c r="H1451" s="452" t="s">
        <v>1896</v>
      </c>
      <c r="I1451" s="453" t="s">
        <v>844</v>
      </c>
      <c r="J1451" s="453">
        <v>97256.24</v>
      </c>
      <c r="K1451" s="461">
        <v>24444.240000000002</v>
      </c>
      <c r="L1451" s="461">
        <v>41598.79</v>
      </c>
      <c r="M1451" s="461">
        <v>31213.21</v>
      </c>
      <c r="N1451" s="461">
        <v>0</v>
      </c>
      <c r="O1451" s="461">
        <v>0</v>
      </c>
      <c r="P1451" s="461">
        <v>0</v>
      </c>
      <c r="Q1451" s="461">
        <v>0</v>
      </c>
      <c r="R1451" s="461">
        <v>0</v>
      </c>
      <c r="S1451" s="461">
        <v>0</v>
      </c>
      <c r="T1451" s="461">
        <v>0</v>
      </c>
      <c r="U1451" s="461">
        <v>0</v>
      </c>
      <c r="V1451" s="461">
        <v>0</v>
      </c>
    </row>
    <row r="1452" spans="1:22" s="455" customFormat="1" hidden="1">
      <c r="A1452" s="455" t="str">
        <f t="shared" si="44"/>
        <v>19355111610011</v>
      </c>
      <c r="B1452" s="455" t="str">
        <f>VLOOKUP(LEFT($C$3:$C$2600,3),Table!$D$2:$E$88,2,FALSE)</f>
        <v>Direct cost</v>
      </c>
      <c r="C1452" s="455" t="str">
        <f t="shared" si="45"/>
        <v>5111610011</v>
      </c>
      <c r="D1452" s="455" t="e">
        <f>VLOOKUP(G1452,Table!$G$3:$H$21,2,FALSE)</f>
        <v>#N/A</v>
      </c>
      <c r="E1452" s="452" t="s">
        <v>902</v>
      </c>
      <c r="F1452" s="452" t="s">
        <v>1655</v>
      </c>
      <c r="G1452" s="452" t="s">
        <v>1897</v>
      </c>
      <c r="H1452" s="452" t="s">
        <v>1898</v>
      </c>
      <c r="I1452" s="453" t="s">
        <v>844</v>
      </c>
      <c r="J1452" s="453">
        <v>171469</v>
      </c>
      <c r="K1452" s="461">
        <v>92329</v>
      </c>
      <c r="L1452" s="461">
        <v>53186</v>
      </c>
      <c r="M1452" s="461">
        <v>25954</v>
      </c>
      <c r="N1452" s="461">
        <v>0</v>
      </c>
      <c r="O1452" s="461">
        <v>0</v>
      </c>
      <c r="P1452" s="461">
        <v>0</v>
      </c>
      <c r="Q1452" s="461">
        <v>0</v>
      </c>
      <c r="R1452" s="461">
        <v>0</v>
      </c>
      <c r="S1452" s="461">
        <v>0</v>
      </c>
      <c r="T1452" s="461">
        <v>0</v>
      </c>
      <c r="U1452" s="461">
        <v>0</v>
      </c>
      <c r="V1452" s="461">
        <v>0</v>
      </c>
    </row>
    <row r="1453" spans="1:22" s="455" customFormat="1" hidden="1">
      <c r="A1453" s="455" t="str">
        <f t="shared" si="44"/>
        <v>19355111610211</v>
      </c>
      <c r="B1453" s="455" t="str">
        <f>VLOOKUP(LEFT($C$3:$C$2600,3),Table!$D$2:$E$88,2,FALSE)</f>
        <v>Direct cost</v>
      </c>
      <c r="C1453" s="455" t="str">
        <f t="shared" si="45"/>
        <v>5111610211</v>
      </c>
      <c r="D1453" s="455" t="e">
        <f>VLOOKUP(G1453,Table!$G$3:$H$21,2,FALSE)</f>
        <v>#N/A</v>
      </c>
      <c r="E1453" s="452" t="s">
        <v>902</v>
      </c>
      <c r="F1453" s="452" t="s">
        <v>1655</v>
      </c>
      <c r="G1453" s="452" t="s">
        <v>1899</v>
      </c>
      <c r="H1453" s="452" t="s">
        <v>1900</v>
      </c>
      <c r="I1453" s="453" t="s">
        <v>844</v>
      </c>
      <c r="J1453" s="453">
        <v>408459.14</v>
      </c>
      <c r="K1453" s="461">
        <v>165174.48000000001</v>
      </c>
      <c r="L1453" s="461">
        <v>137283.91</v>
      </c>
      <c r="M1453" s="461">
        <v>106000.75</v>
      </c>
      <c r="N1453" s="461">
        <v>0</v>
      </c>
      <c r="O1453" s="461">
        <v>0</v>
      </c>
      <c r="P1453" s="461">
        <v>0</v>
      </c>
      <c r="Q1453" s="461">
        <v>0</v>
      </c>
      <c r="R1453" s="461">
        <v>0</v>
      </c>
      <c r="S1453" s="461">
        <v>0</v>
      </c>
      <c r="T1453" s="461">
        <v>0</v>
      </c>
      <c r="U1453" s="461">
        <v>0</v>
      </c>
      <c r="V1453" s="461">
        <v>0</v>
      </c>
    </row>
    <row r="1454" spans="1:22" s="455" customFormat="1" hidden="1">
      <c r="A1454" s="455" t="str">
        <f t="shared" si="44"/>
        <v>19355111610311</v>
      </c>
      <c r="B1454" s="455" t="str">
        <f>VLOOKUP(LEFT($C$3:$C$2600,3),Table!$D$2:$E$88,2,FALSE)</f>
        <v>Direct cost</v>
      </c>
      <c r="C1454" s="455" t="str">
        <f t="shared" si="45"/>
        <v>5111610311</v>
      </c>
      <c r="D1454" s="455" t="e">
        <f>VLOOKUP(G1454,Table!$G$3:$H$21,2,FALSE)</f>
        <v>#N/A</v>
      </c>
      <c r="E1454" s="452" t="s">
        <v>902</v>
      </c>
      <c r="F1454" s="452" t="s">
        <v>1655</v>
      </c>
      <c r="G1454" s="452" t="s">
        <v>1901</v>
      </c>
      <c r="H1454" s="452" t="s">
        <v>2591</v>
      </c>
      <c r="I1454" s="453" t="s">
        <v>844</v>
      </c>
      <c r="J1454" s="453">
        <v>147177.03</v>
      </c>
      <c r="K1454" s="461">
        <v>60006</v>
      </c>
      <c r="L1454" s="461">
        <v>80564</v>
      </c>
      <c r="M1454" s="461">
        <v>6607.03</v>
      </c>
      <c r="N1454" s="461">
        <v>0</v>
      </c>
      <c r="O1454" s="461">
        <v>0</v>
      </c>
      <c r="P1454" s="461">
        <v>0</v>
      </c>
      <c r="Q1454" s="461">
        <v>0</v>
      </c>
      <c r="R1454" s="461">
        <v>0</v>
      </c>
      <c r="S1454" s="461">
        <v>0</v>
      </c>
      <c r="T1454" s="461">
        <v>0</v>
      </c>
      <c r="U1454" s="461">
        <v>0</v>
      </c>
      <c r="V1454" s="461">
        <v>0</v>
      </c>
    </row>
    <row r="1455" spans="1:22" s="455" customFormat="1" hidden="1">
      <c r="A1455" s="455" t="str">
        <f t="shared" si="44"/>
        <v>19355111610611</v>
      </c>
      <c r="B1455" s="455" t="str">
        <f>VLOOKUP(LEFT($C$3:$C$2600,3),Table!$D$2:$E$88,2,FALSE)</f>
        <v>Direct cost</v>
      </c>
      <c r="C1455" s="455" t="str">
        <f t="shared" si="45"/>
        <v>5111610611</v>
      </c>
      <c r="D1455" s="455" t="e">
        <f>VLOOKUP(G1455,Table!$G$3:$H$21,2,FALSE)</f>
        <v>#N/A</v>
      </c>
      <c r="E1455" s="452" t="s">
        <v>902</v>
      </c>
      <c r="F1455" s="452" t="s">
        <v>1655</v>
      </c>
      <c r="G1455" s="452" t="s">
        <v>1902</v>
      </c>
      <c r="H1455" s="452" t="s">
        <v>1903</v>
      </c>
      <c r="I1455" s="453" t="s">
        <v>844</v>
      </c>
      <c r="J1455" s="453">
        <v>85170</v>
      </c>
      <c r="K1455" s="461">
        <v>82283</v>
      </c>
      <c r="L1455" s="461">
        <v>956</v>
      </c>
      <c r="M1455" s="461">
        <v>1931</v>
      </c>
      <c r="N1455" s="461">
        <v>0</v>
      </c>
      <c r="O1455" s="461">
        <v>0</v>
      </c>
      <c r="P1455" s="461">
        <v>0</v>
      </c>
      <c r="Q1455" s="461">
        <v>0</v>
      </c>
      <c r="R1455" s="461">
        <v>0</v>
      </c>
      <c r="S1455" s="461">
        <v>0</v>
      </c>
      <c r="T1455" s="461">
        <v>0</v>
      </c>
      <c r="U1455" s="461">
        <v>0</v>
      </c>
      <c r="V1455" s="461">
        <v>0</v>
      </c>
    </row>
    <row r="1456" spans="1:22" s="455" customFormat="1" hidden="1">
      <c r="A1456" s="455" t="str">
        <f t="shared" si="44"/>
        <v>19355111610911</v>
      </c>
      <c r="B1456" s="455" t="str">
        <f>VLOOKUP(LEFT($C$3:$C$2600,3),Table!$D$2:$E$88,2,FALSE)</f>
        <v>Direct cost</v>
      </c>
      <c r="C1456" s="455" t="str">
        <f t="shared" si="45"/>
        <v>5111610911</v>
      </c>
      <c r="D1456" s="455" t="e">
        <f>VLOOKUP(G1456,Table!$G$3:$H$21,2,FALSE)</f>
        <v>#N/A</v>
      </c>
      <c r="E1456" s="452" t="s">
        <v>902</v>
      </c>
      <c r="F1456" s="452" t="s">
        <v>1655</v>
      </c>
      <c r="G1456" s="452" t="s">
        <v>1906</v>
      </c>
      <c r="H1456" s="452" t="s">
        <v>1907</v>
      </c>
      <c r="I1456" s="453" t="s">
        <v>844</v>
      </c>
      <c r="J1456" s="453">
        <v>114913.32</v>
      </c>
      <c r="K1456" s="461">
        <v>24326</v>
      </c>
      <c r="L1456" s="461">
        <v>67735.45</v>
      </c>
      <c r="M1456" s="461">
        <v>22851.87</v>
      </c>
      <c r="N1456" s="461">
        <v>0</v>
      </c>
      <c r="O1456" s="461">
        <v>0</v>
      </c>
      <c r="P1456" s="461">
        <v>0</v>
      </c>
      <c r="Q1456" s="461">
        <v>0</v>
      </c>
      <c r="R1456" s="461">
        <v>0</v>
      </c>
      <c r="S1456" s="461">
        <v>0</v>
      </c>
      <c r="T1456" s="461">
        <v>0</v>
      </c>
      <c r="U1456" s="461">
        <v>0</v>
      </c>
      <c r="V1456" s="461">
        <v>0</v>
      </c>
    </row>
    <row r="1457" spans="1:22" s="455" customFormat="1" hidden="1">
      <c r="A1457" s="455" t="str">
        <f t="shared" si="44"/>
        <v>19355111611011</v>
      </c>
      <c r="B1457" s="455" t="str">
        <f>VLOOKUP(LEFT($C$3:$C$2600,3),Table!$D$2:$E$88,2,FALSE)</f>
        <v>Direct cost</v>
      </c>
      <c r="C1457" s="455" t="str">
        <f t="shared" si="45"/>
        <v>5111611011</v>
      </c>
      <c r="D1457" s="455" t="e">
        <f>VLOOKUP(G1457,Table!$G$3:$H$21,2,FALSE)</f>
        <v>#N/A</v>
      </c>
      <c r="E1457" s="452" t="s">
        <v>902</v>
      </c>
      <c r="F1457" s="452" t="s">
        <v>1655</v>
      </c>
      <c r="G1457" s="452" t="s">
        <v>1908</v>
      </c>
      <c r="H1457" s="452" t="s">
        <v>1909</v>
      </c>
      <c r="I1457" s="453" t="s">
        <v>844</v>
      </c>
      <c r="J1457" s="453">
        <v>263756.52</v>
      </c>
      <c r="K1457" s="461">
        <v>159714.51999999999</v>
      </c>
      <c r="L1457" s="461">
        <v>72962</v>
      </c>
      <c r="M1457" s="461">
        <v>31080</v>
      </c>
      <c r="N1457" s="461">
        <v>0</v>
      </c>
      <c r="O1457" s="461">
        <v>0</v>
      </c>
      <c r="P1457" s="461">
        <v>0</v>
      </c>
      <c r="Q1457" s="461">
        <v>0</v>
      </c>
      <c r="R1457" s="461">
        <v>0</v>
      </c>
      <c r="S1457" s="461">
        <v>0</v>
      </c>
      <c r="T1457" s="461">
        <v>0</v>
      </c>
      <c r="U1457" s="461">
        <v>0</v>
      </c>
      <c r="V1457" s="461">
        <v>0</v>
      </c>
    </row>
    <row r="1458" spans="1:22" s="455" customFormat="1" hidden="1">
      <c r="A1458" s="455" t="str">
        <f t="shared" si="44"/>
        <v>19355121005011</v>
      </c>
      <c r="B1458" s="455" t="str">
        <f>VLOOKUP(LEFT($C$3:$C$2600,3),Table!$D$2:$E$88,2,FALSE)</f>
        <v>Period cost</v>
      </c>
      <c r="C1458" s="455" t="str">
        <f t="shared" si="45"/>
        <v>5121005011</v>
      </c>
      <c r="D1458" s="455" t="e">
        <f>VLOOKUP(G1458,Table!$G$3:$H$21,2,FALSE)</f>
        <v>#N/A</v>
      </c>
      <c r="E1458" s="452" t="s">
        <v>902</v>
      </c>
      <c r="F1458" s="452" t="s">
        <v>1655</v>
      </c>
      <c r="G1458" s="452" t="s">
        <v>1910</v>
      </c>
      <c r="H1458" s="452" t="s">
        <v>1911</v>
      </c>
      <c r="I1458" s="453" t="s">
        <v>844</v>
      </c>
      <c r="J1458" s="453">
        <v>18392.86</v>
      </c>
      <c r="K1458" s="461">
        <v>4491.63</v>
      </c>
      <c r="L1458" s="461">
        <v>10767.97</v>
      </c>
      <c r="M1458" s="461">
        <v>3133.26</v>
      </c>
      <c r="N1458" s="461">
        <v>0</v>
      </c>
      <c r="O1458" s="461">
        <v>0</v>
      </c>
      <c r="P1458" s="461">
        <v>0</v>
      </c>
      <c r="Q1458" s="461">
        <v>0</v>
      </c>
      <c r="R1458" s="461">
        <v>0</v>
      </c>
      <c r="S1458" s="461">
        <v>0</v>
      </c>
      <c r="T1458" s="461">
        <v>0</v>
      </c>
      <c r="U1458" s="461">
        <v>0</v>
      </c>
      <c r="V1458" s="461">
        <v>0</v>
      </c>
    </row>
    <row r="1459" spans="1:22" s="455" customFormat="1" hidden="1">
      <c r="A1459" s="455" t="str">
        <f t="shared" si="44"/>
        <v>19355121010211</v>
      </c>
      <c r="B1459" s="455" t="str">
        <f>VLOOKUP(LEFT($C$3:$C$2600,3),Table!$D$2:$E$88,2,FALSE)</f>
        <v>Period cost</v>
      </c>
      <c r="C1459" s="455" t="str">
        <f t="shared" si="45"/>
        <v>5121010211</v>
      </c>
      <c r="D1459" s="455" t="e">
        <f>VLOOKUP(G1459,Table!$G$3:$H$21,2,FALSE)</f>
        <v>#N/A</v>
      </c>
      <c r="E1459" s="452" t="s">
        <v>902</v>
      </c>
      <c r="F1459" s="452" t="s">
        <v>1655</v>
      </c>
      <c r="G1459" s="452" t="s">
        <v>1912</v>
      </c>
      <c r="H1459" s="452" t="s">
        <v>1913</v>
      </c>
      <c r="I1459" s="453" t="s">
        <v>844</v>
      </c>
      <c r="J1459" s="453">
        <v>396796.17</v>
      </c>
      <c r="K1459" s="461">
        <v>139399.76999999999</v>
      </c>
      <c r="L1459" s="461">
        <v>102464.84</v>
      </c>
      <c r="M1459" s="461">
        <v>154931.56</v>
      </c>
      <c r="N1459" s="461">
        <v>0</v>
      </c>
      <c r="O1459" s="461">
        <v>0</v>
      </c>
      <c r="P1459" s="461">
        <v>0</v>
      </c>
      <c r="Q1459" s="461">
        <v>0</v>
      </c>
      <c r="R1459" s="461">
        <v>0</v>
      </c>
      <c r="S1459" s="461">
        <v>0</v>
      </c>
      <c r="T1459" s="461">
        <v>0</v>
      </c>
      <c r="U1459" s="461">
        <v>0</v>
      </c>
      <c r="V1459" s="461">
        <v>0</v>
      </c>
    </row>
    <row r="1460" spans="1:22" s="455" customFormat="1" hidden="1">
      <c r="A1460" s="455" t="str">
        <f t="shared" si="44"/>
        <v>19355121010311</v>
      </c>
      <c r="B1460" s="455" t="str">
        <f>VLOOKUP(LEFT($C$3:$C$2600,3),Table!$D$2:$E$88,2,FALSE)</f>
        <v>Period cost</v>
      </c>
      <c r="C1460" s="455" t="str">
        <f t="shared" si="45"/>
        <v>5121010311</v>
      </c>
      <c r="D1460" s="455" t="e">
        <f>VLOOKUP(G1460,Table!$G$3:$H$21,2,FALSE)</f>
        <v>#N/A</v>
      </c>
      <c r="E1460" s="452" t="s">
        <v>902</v>
      </c>
      <c r="F1460" s="452" t="s">
        <v>1655</v>
      </c>
      <c r="G1460" s="452" t="s">
        <v>1914</v>
      </c>
      <c r="H1460" s="452" t="s">
        <v>1915</v>
      </c>
      <c r="I1460" s="453" t="s">
        <v>844</v>
      </c>
      <c r="J1460" s="453">
        <v>19313</v>
      </c>
      <c r="K1460" s="461">
        <v>15196</v>
      </c>
      <c r="L1460" s="461">
        <v>4117</v>
      </c>
      <c r="M1460" s="461">
        <v>0</v>
      </c>
      <c r="N1460" s="461">
        <v>0</v>
      </c>
      <c r="O1460" s="461">
        <v>0</v>
      </c>
      <c r="P1460" s="461">
        <v>0</v>
      </c>
      <c r="Q1460" s="461">
        <v>0</v>
      </c>
      <c r="R1460" s="461">
        <v>0</v>
      </c>
      <c r="S1460" s="461">
        <v>0</v>
      </c>
      <c r="T1460" s="461">
        <v>0</v>
      </c>
      <c r="U1460" s="461">
        <v>0</v>
      </c>
      <c r="V1460" s="461">
        <v>0</v>
      </c>
    </row>
    <row r="1461" spans="1:22" s="455" customFormat="1" hidden="1">
      <c r="A1461" s="455" t="str">
        <f t="shared" si="44"/>
        <v>19355121030011</v>
      </c>
      <c r="B1461" s="455" t="str">
        <f>VLOOKUP(LEFT($C$3:$C$2600,3),Table!$D$2:$E$88,2,FALSE)</f>
        <v>Period cost</v>
      </c>
      <c r="C1461" s="455" t="str">
        <f t="shared" si="45"/>
        <v>5121030011</v>
      </c>
      <c r="D1461" s="455" t="e">
        <f>VLOOKUP(G1461,Table!$G$3:$H$21,2,FALSE)</f>
        <v>#N/A</v>
      </c>
      <c r="E1461" s="452" t="s">
        <v>902</v>
      </c>
      <c r="F1461" s="452" t="s">
        <v>1655</v>
      </c>
      <c r="G1461" s="452" t="s">
        <v>1916</v>
      </c>
      <c r="H1461" s="452" t="s">
        <v>1917</v>
      </c>
      <c r="I1461" s="453" t="s">
        <v>844</v>
      </c>
      <c r="J1461" s="453">
        <v>310242.96000000002</v>
      </c>
      <c r="K1461" s="461">
        <v>49909.37</v>
      </c>
      <c r="L1461" s="461">
        <v>160816.79999999999</v>
      </c>
      <c r="M1461" s="461">
        <v>99516.79</v>
      </c>
      <c r="N1461" s="461">
        <v>0</v>
      </c>
      <c r="O1461" s="461">
        <v>0</v>
      </c>
      <c r="P1461" s="461">
        <v>0</v>
      </c>
      <c r="Q1461" s="461">
        <v>0</v>
      </c>
      <c r="R1461" s="461">
        <v>0</v>
      </c>
      <c r="S1461" s="461">
        <v>0</v>
      </c>
      <c r="T1461" s="461">
        <v>0</v>
      </c>
      <c r="U1461" s="461">
        <v>0</v>
      </c>
      <c r="V1461" s="461">
        <v>0</v>
      </c>
    </row>
    <row r="1462" spans="1:22" s="455" customFormat="1" hidden="1">
      <c r="A1462" s="455" t="str">
        <f t="shared" si="44"/>
        <v>19355121110011</v>
      </c>
      <c r="B1462" s="455" t="str">
        <f>VLOOKUP(LEFT($C$3:$C$2600,3),Table!$D$2:$E$88,2,FALSE)</f>
        <v>Period cost</v>
      </c>
      <c r="C1462" s="455" t="str">
        <f t="shared" si="45"/>
        <v>5121110011</v>
      </c>
      <c r="D1462" s="455" t="e">
        <f>VLOOKUP(G1462,Table!$G$3:$H$21,2,FALSE)</f>
        <v>#N/A</v>
      </c>
      <c r="E1462" s="452" t="s">
        <v>902</v>
      </c>
      <c r="F1462" s="452" t="s">
        <v>1655</v>
      </c>
      <c r="G1462" s="452" t="s">
        <v>1918</v>
      </c>
      <c r="H1462" s="452" t="s">
        <v>1919</v>
      </c>
      <c r="I1462" s="453" t="s">
        <v>844</v>
      </c>
      <c r="J1462" s="453">
        <v>130096</v>
      </c>
      <c r="K1462" s="461">
        <v>86275</v>
      </c>
      <c r="L1462" s="461">
        <v>22197</v>
      </c>
      <c r="M1462" s="461">
        <v>21624</v>
      </c>
      <c r="N1462" s="461">
        <v>0</v>
      </c>
      <c r="O1462" s="461">
        <v>0</v>
      </c>
      <c r="P1462" s="461">
        <v>0</v>
      </c>
      <c r="Q1462" s="461">
        <v>0</v>
      </c>
      <c r="R1462" s="461">
        <v>0</v>
      </c>
      <c r="S1462" s="461">
        <v>0</v>
      </c>
      <c r="T1462" s="461">
        <v>0</v>
      </c>
      <c r="U1462" s="461">
        <v>0</v>
      </c>
      <c r="V1462" s="461">
        <v>0</v>
      </c>
    </row>
    <row r="1463" spans="1:22" s="455" customFormat="1" hidden="1">
      <c r="A1463" s="455" t="str">
        <f t="shared" si="44"/>
        <v>19355121120011</v>
      </c>
      <c r="B1463" s="455" t="str">
        <f>VLOOKUP(LEFT($C$3:$C$2600,3),Table!$D$2:$E$88,2,FALSE)</f>
        <v>Period cost</v>
      </c>
      <c r="C1463" s="455" t="str">
        <f t="shared" si="45"/>
        <v>5121120011</v>
      </c>
      <c r="D1463" s="455" t="e">
        <f>VLOOKUP(G1463,Table!$G$3:$H$21,2,FALSE)</f>
        <v>#N/A</v>
      </c>
      <c r="E1463" s="452" t="s">
        <v>902</v>
      </c>
      <c r="F1463" s="452" t="s">
        <v>1655</v>
      </c>
      <c r="G1463" s="452" t="s">
        <v>1920</v>
      </c>
      <c r="H1463" s="452" t="s">
        <v>1921</v>
      </c>
      <c r="I1463" s="453" t="s">
        <v>844</v>
      </c>
      <c r="J1463" s="453">
        <v>31777</v>
      </c>
      <c r="K1463" s="461">
        <v>1472</v>
      </c>
      <c r="L1463" s="461">
        <v>17213</v>
      </c>
      <c r="M1463" s="461">
        <v>13092</v>
      </c>
      <c r="N1463" s="461">
        <v>0</v>
      </c>
      <c r="O1463" s="461">
        <v>0</v>
      </c>
      <c r="P1463" s="461">
        <v>0</v>
      </c>
      <c r="Q1463" s="461">
        <v>0</v>
      </c>
      <c r="R1463" s="461">
        <v>0</v>
      </c>
      <c r="S1463" s="461">
        <v>0</v>
      </c>
      <c r="T1463" s="461">
        <v>0</v>
      </c>
      <c r="U1463" s="461">
        <v>0</v>
      </c>
      <c r="V1463" s="461">
        <v>0</v>
      </c>
    </row>
    <row r="1464" spans="1:22" s="455" customFormat="1" hidden="1">
      <c r="A1464" s="455" t="str">
        <f t="shared" si="44"/>
        <v>19355121130011</v>
      </c>
      <c r="B1464" s="455" t="str">
        <f>VLOOKUP(LEFT($C$3:$C$2600,3),Table!$D$2:$E$88,2,FALSE)</f>
        <v>Period cost</v>
      </c>
      <c r="C1464" s="455" t="str">
        <f t="shared" si="45"/>
        <v>5121130011</v>
      </c>
      <c r="D1464" s="455" t="e">
        <f>VLOOKUP(G1464,Table!$G$3:$H$21,2,FALSE)</f>
        <v>#N/A</v>
      </c>
      <c r="E1464" s="452" t="s">
        <v>902</v>
      </c>
      <c r="F1464" s="452" t="s">
        <v>1655</v>
      </c>
      <c r="G1464" s="452" t="s">
        <v>1922</v>
      </c>
      <c r="H1464" s="452" t="s">
        <v>1923</v>
      </c>
      <c r="I1464" s="453" t="s">
        <v>844</v>
      </c>
      <c r="J1464" s="453">
        <v>34328</v>
      </c>
      <c r="K1464" s="461">
        <v>5941</v>
      </c>
      <c r="L1464" s="461">
        <v>18964</v>
      </c>
      <c r="M1464" s="461">
        <v>9423</v>
      </c>
      <c r="N1464" s="461">
        <v>0</v>
      </c>
      <c r="O1464" s="461">
        <v>0</v>
      </c>
      <c r="P1464" s="461">
        <v>0</v>
      </c>
      <c r="Q1464" s="461">
        <v>0</v>
      </c>
      <c r="R1464" s="461">
        <v>0</v>
      </c>
      <c r="S1464" s="461">
        <v>0</v>
      </c>
      <c r="T1464" s="461">
        <v>0</v>
      </c>
      <c r="U1464" s="461">
        <v>0</v>
      </c>
      <c r="V1464" s="461">
        <v>0</v>
      </c>
    </row>
    <row r="1465" spans="1:22" s="455" customFormat="1" hidden="1">
      <c r="A1465" s="455" t="str">
        <f t="shared" si="44"/>
        <v>19355121510520</v>
      </c>
      <c r="B1465" s="455" t="str">
        <f>VLOOKUP(LEFT($C$3:$C$2600,3),Table!$D$2:$E$88,2,FALSE)</f>
        <v>Period cost</v>
      </c>
      <c r="C1465" s="455" t="str">
        <f t="shared" si="45"/>
        <v>5121510520</v>
      </c>
      <c r="D1465" s="455" t="e">
        <f>VLOOKUP(G1465,Table!$G$3:$H$21,2,FALSE)</f>
        <v>#N/A</v>
      </c>
      <c r="E1465" s="452" t="s">
        <v>902</v>
      </c>
      <c r="F1465" s="452" t="s">
        <v>1655</v>
      </c>
      <c r="G1465" s="452" t="s">
        <v>1924</v>
      </c>
      <c r="H1465" s="452" t="s">
        <v>1925</v>
      </c>
      <c r="I1465" s="453" t="s">
        <v>844</v>
      </c>
      <c r="J1465" s="453">
        <v>67416.09</v>
      </c>
      <c r="K1465" s="461">
        <v>16169.36</v>
      </c>
      <c r="L1465" s="461">
        <v>28391.37</v>
      </c>
      <c r="M1465" s="461">
        <v>22855.360000000001</v>
      </c>
      <c r="N1465" s="461">
        <v>0</v>
      </c>
      <c r="O1465" s="461">
        <v>0</v>
      </c>
      <c r="P1465" s="461">
        <v>0</v>
      </c>
      <c r="Q1465" s="461">
        <v>0</v>
      </c>
      <c r="R1465" s="461">
        <v>0</v>
      </c>
      <c r="S1465" s="461">
        <v>0</v>
      </c>
      <c r="T1465" s="461">
        <v>0</v>
      </c>
      <c r="U1465" s="461">
        <v>0</v>
      </c>
      <c r="V1465" s="461">
        <v>0</v>
      </c>
    </row>
    <row r="1466" spans="1:22" s="455" customFormat="1" hidden="1">
      <c r="A1466" s="455" t="str">
        <f t="shared" si="44"/>
        <v>19355121610011</v>
      </c>
      <c r="B1466" s="455" t="str">
        <f>VLOOKUP(LEFT($C$3:$C$2600,3),Table!$D$2:$E$88,2,FALSE)</f>
        <v>Period cost</v>
      </c>
      <c r="C1466" s="455" t="str">
        <f t="shared" si="45"/>
        <v>5121610011</v>
      </c>
      <c r="D1466" s="455" t="e">
        <f>VLOOKUP(G1466,Table!$G$3:$H$21,2,FALSE)</f>
        <v>#N/A</v>
      </c>
      <c r="E1466" s="452" t="s">
        <v>902</v>
      </c>
      <c r="F1466" s="452" t="s">
        <v>1655</v>
      </c>
      <c r="G1466" s="452" t="s">
        <v>1926</v>
      </c>
      <c r="H1466" s="452" t="s">
        <v>1927</v>
      </c>
      <c r="I1466" s="453" t="s">
        <v>844</v>
      </c>
      <c r="J1466" s="453">
        <v>114531</v>
      </c>
      <c r="K1466" s="461">
        <v>60671</v>
      </c>
      <c r="L1466" s="461">
        <v>35645</v>
      </c>
      <c r="M1466" s="461">
        <v>18215</v>
      </c>
      <c r="N1466" s="461">
        <v>0</v>
      </c>
      <c r="O1466" s="461">
        <v>0</v>
      </c>
      <c r="P1466" s="461">
        <v>0</v>
      </c>
      <c r="Q1466" s="461">
        <v>0</v>
      </c>
      <c r="R1466" s="461">
        <v>0</v>
      </c>
      <c r="S1466" s="461">
        <v>0</v>
      </c>
      <c r="T1466" s="461">
        <v>0</v>
      </c>
      <c r="U1466" s="461">
        <v>0</v>
      </c>
      <c r="V1466" s="461">
        <v>0</v>
      </c>
    </row>
    <row r="1467" spans="1:22" s="455" customFormat="1" hidden="1">
      <c r="A1467" s="455" t="str">
        <f t="shared" si="44"/>
        <v>19355121610211</v>
      </c>
      <c r="B1467" s="455" t="str">
        <f>VLOOKUP(LEFT($C$3:$C$2600,3),Table!$D$2:$E$88,2,FALSE)</f>
        <v>Period cost</v>
      </c>
      <c r="C1467" s="455" t="str">
        <f t="shared" si="45"/>
        <v>5121610211</v>
      </c>
      <c r="D1467" s="455" t="e">
        <f>VLOOKUP(G1467,Table!$G$3:$H$21,2,FALSE)</f>
        <v>#N/A</v>
      </c>
      <c r="E1467" s="452" t="s">
        <v>902</v>
      </c>
      <c r="F1467" s="452" t="s">
        <v>1655</v>
      </c>
      <c r="G1467" s="452" t="s">
        <v>1928</v>
      </c>
      <c r="H1467" s="452" t="s">
        <v>1929</v>
      </c>
      <c r="I1467" s="453" t="s">
        <v>844</v>
      </c>
      <c r="J1467" s="453">
        <v>115841.7</v>
      </c>
      <c r="K1467" s="461">
        <v>40272.800000000003</v>
      </c>
      <c r="L1467" s="461">
        <v>39228.58</v>
      </c>
      <c r="M1467" s="461">
        <v>36340.32</v>
      </c>
      <c r="N1467" s="461">
        <v>0</v>
      </c>
      <c r="O1467" s="461">
        <v>0</v>
      </c>
      <c r="P1467" s="461">
        <v>0</v>
      </c>
      <c r="Q1467" s="461">
        <v>0</v>
      </c>
      <c r="R1467" s="461">
        <v>0</v>
      </c>
      <c r="S1467" s="461">
        <v>0</v>
      </c>
      <c r="T1467" s="461">
        <v>0</v>
      </c>
      <c r="U1467" s="461">
        <v>0</v>
      </c>
      <c r="V1467" s="461">
        <v>0</v>
      </c>
    </row>
    <row r="1468" spans="1:22" s="455" customFormat="1" hidden="1">
      <c r="A1468" s="455" t="str">
        <f t="shared" si="44"/>
        <v>19355121610311</v>
      </c>
      <c r="B1468" s="455" t="str">
        <f>VLOOKUP(LEFT($C$3:$C$2600,3),Table!$D$2:$E$88,2,FALSE)</f>
        <v>Period cost</v>
      </c>
      <c r="C1468" s="455" t="str">
        <f t="shared" si="45"/>
        <v>5121610311</v>
      </c>
      <c r="D1468" s="455" t="e">
        <f>VLOOKUP(G1468,Table!$G$3:$H$21,2,FALSE)</f>
        <v>#N/A</v>
      </c>
      <c r="E1468" s="452" t="s">
        <v>902</v>
      </c>
      <c r="F1468" s="452" t="s">
        <v>1655</v>
      </c>
      <c r="G1468" s="452" t="s">
        <v>1930</v>
      </c>
      <c r="H1468" s="452" t="s">
        <v>2592</v>
      </c>
      <c r="I1468" s="453" t="s">
        <v>844</v>
      </c>
      <c r="J1468" s="453">
        <v>133733.17000000001</v>
      </c>
      <c r="K1468" s="461">
        <v>56148</v>
      </c>
      <c r="L1468" s="461">
        <v>70335</v>
      </c>
      <c r="M1468" s="461">
        <v>7250.17</v>
      </c>
      <c r="N1468" s="461">
        <v>0</v>
      </c>
      <c r="O1468" s="461">
        <v>0</v>
      </c>
      <c r="P1468" s="461">
        <v>0</v>
      </c>
      <c r="Q1468" s="461">
        <v>0</v>
      </c>
      <c r="R1468" s="461">
        <v>0</v>
      </c>
      <c r="S1468" s="461">
        <v>0</v>
      </c>
      <c r="T1468" s="461">
        <v>0</v>
      </c>
      <c r="U1468" s="461">
        <v>0</v>
      </c>
      <c r="V1468" s="461">
        <v>0</v>
      </c>
    </row>
    <row r="1469" spans="1:22" s="455" customFormat="1" hidden="1">
      <c r="A1469" s="455" t="str">
        <f t="shared" si="44"/>
        <v>19355121610611</v>
      </c>
      <c r="B1469" s="455" t="str">
        <f>VLOOKUP(LEFT($C$3:$C$2600,3),Table!$D$2:$E$88,2,FALSE)</f>
        <v>Period cost</v>
      </c>
      <c r="C1469" s="455" t="str">
        <f t="shared" si="45"/>
        <v>5121610611</v>
      </c>
      <c r="D1469" s="455" t="e">
        <f>VLOOKUP(G1469,Table!$G$3:$H$21,2,FALSE)</f>
        <v>#N/A</v>
      </c>
      <c r="E1469" s="452" t="s">
        <v>902</v>
      </c>
      <c r="F1469" s="452" t="s">
        <v>1655</v>
      </c>
      <c r="G1469" s="452" t="s">
        <v>1931</v>
      </c>
      <c r="H1469" s="452" t="s">
        <v>1932</v>
      </c>
      <c r="I1469" s="453" t="s">
        <v>844</v>
      </c>
      <c r="J1469" s="453">
        <v>71786</v>
      </c>
      <c r="K1469" s="461">
        <v>68816</v>
      </c>
      <c r="L1469" s="461">
        <v>799</v>
      </c>
      <c r="M1469" s="461">
        <v>2171</v>
      </c>
      <c r="N1469" s="461">
        <v>0</v>
      </c>
      <c r="O1469" s="461">
        <v>0</v>
      </c>
      <c r="P1469" s="461">
        <v>0</v>
      </c>
      <c r="Q1469" s="461">
        <v>0</v>
      </c>
      <c r="R1469" s="461">
        <v>0</v>
      </c>
      <c r="S1469" s="461">
        <v>0</v>
      </c>
      <c r="T1469" s="461">
        <v>0</v>
      </c>
      <c r="U1469" s="461">
        <v>0</v>
      </c>
      <c r="V1469" s="461">
        <v>0</v>
      </c>
    </row>
    <row r="1470" spans="1:22" s="455" customFormat="1" hidden="1">
      <c r="A1470" s="455" t="str">
        <f t="shared" si="44"/>
        <v>19355121610911</v>
      </c>
      <c r="B1470" s="455" t="str">
        <f>VLOOKUP(LEFT($C$3:$C$2600,3),Table!$D$2:$E$88,2,FALSE)</f>
        <v>Period cost</v>
      </c>
      <c r="C1470" s="455" t="str">
        <f t="shared" si="45"/>
        <v>5121610911</v>
      </c>
      <c r="D1470" s="455" t="e">
        <f>VLOOKUP(G1470,Table!$G$3:$H$21,2,FALSE)</f>
        <v>#N/A</v>
      </c>
      <c r="E1470" s="452" t="s">
        <v>902</v>
      </c>
      <c r="F1470" s="452" t="s">
        <v>1655</v>
      </c>
      <c r="G1470" s="452" t="s">
        <v>1935</v>
      </c>
      <c r="H1470" s="452" t="s">
        <v>1936</v>
      </c>
      <c r="I1470" s="453" t="s">
        <v>844</v>
      </c>
      <c r="J1470" s="453">
        <v>83245.17</v>
      </c>
      <c r="K1470" s="461">
        <v>17622</v>
      </c>
      <c r="L1470" s="461">
        <v>49069.4</v>
      </c>
      <c r="M1470" s="461">
        <v>16553.77</v>
      </c>
      <c r="N1470" s="461">
        <v>0</v>
      </c>
      <c r="O1470" s="461">
        <v>0</v>
      </c>
      <c r="P1470" s="461">
        <v>0</v>
      </c>
      <c r="Q1470" s="461">
        <v>0</v>
      </c>
      <c r="R1470" s="461">
        <v>0</v>
      </c>
      <c r="S1470" s="461">
        <v>0</v>
      </c>
      <c r="T1470" s="461">
        <v>0</v>
      </c>
      <c r="U1470" s="461">
        <v>0</v>
      </c>
      <c r="V1470" s="461">
        <v>0</v>
      </c>
    </row>
    <row r="1471" spans="1:22" s="455" customFormat="1" hidden="1">
      <c r="A1471" s="455" t="str">
        <f t="shared" si="44"/>
        <v>19355121611011</v>
      </c>
      <c r="B1471" s="455" t="str">
        <f>VLOOKUP(LEFT($C$3:$C$2600,3),Table!$D$2:$E$88,2,FALSE)</f>
        <v>Period cost</v>
      </c>
      <c r="C1471" s="455" t="str">
        <f t="shared" si="45"/>
        <v>5121611011</v>
      </c>
      <c r="D1471" s="455" t="e">
        <f>VLOOKUP(G1471,Table!$G$3:$H$21,2,FALSE)</f>
        <v>#N/A</v>
      </c>
      <c r="E1471" s="452" t="s">
        <v>902</v>
      </c>
      <c r="F1471" s="452" t="s">
        <v>1655</v>
      </c>
      <c r="G1471" s="452" t="s">
        <v>1937</v>
      </c>
      <c r="H1471" s="452" t="s">
        <v>1938</v>
      </c>
      <c r="I1471" s="453" t="s">
        <v>844</v>
      </c>
      <c r="J1471" s="453">
        <v>219411.46</v>
      </c>
      <c r="K1471" s="461">
        <v>132861.46</v>
      </c>
      <c r="L1471" s="461">
        <v>60695</v>
      </c>
      <c r="M1471" s="461">
        <v>25855</v>
      </c>
      <c r="N1471" s="461">
        <v>0</v>
      </c>
      <c r="O1471" s="461">
        <v>0</v>
      </c>
      <c r="P1471" s="461">
        <v>0</v>
      </c>
      <c r="Q1471" s="461">
        <v>0</v>
      </c>
      <c r="R1471" s="461">
        <v>0</v>
      </c>
      <c r="S1471" s="461">
        <v>0</v>
      </c>
      <c r="T1471" s="461">
        <v>0</v>
      </c>
      <c r="U1471" s="461">
        <v>0</v>
      </c>
      <c r="V1471" s="461">
        <v>0</v>
      </c>
    </row>
    <row r="1472" spans="1:22" s="455" customFormat="1" hidden="1">
      <c r="A1472" s="455" t="str">
        <f t="shared" si="44"/>
        <v>19404001030011</v>
      </c>
      <c r="B1472" s="455" t="str">
        <f>VLOOKUP(LEFT($C$3:$C$2600,3),Table!$D$2:$E$88,2,FALSE)</f>
        <v>3rd Party Revenue</v>
      </c>
      <c r="C1472" s="455" t="str">
        <f t="shared" si="45"/>
        <v>4001030011</v>
      </c>
      <c r="D1472" s="455" t="e">
        <f>VLOOKUP(G1472,Table!$G$3:$H$21,2,FALSE)</f>
        <v>#N/A</v>
      </c>
      <c r="E1472" s="452" t="s">
        <v>902</v>
      </c>
      <c r="F1472" s="452" t="s">
        <v>1939</v>
      </c>
      <c r="G1472" s="452" t="s">
        <v>1662</v>
      </c>
      <c r="H1472" s="452" t="s">
        <v>1663</v>
      </c>
      <c r="I1472" s="453" t="s">
        <v>844</v>
      </c>
      <c r="J1472" s="453">
        <v>-161241.29999999999</v>
      </c>
      <c r="K1472" s="461">
        <v>-59202</v>
      </c>
      <c r="L1472" s="461">
        <v>0</v>
      </c>
      <c r="M1472" s="461">
        <v>-33897.599999999999</v>
      </c>
      <c r="N1472" s="461">
        <v>0</v>
      </c>
      <c r="O1472" s="461">
        <v>0</v>
      </c>
      <c r="P1472" s="461">
        <v>0</v>
      </c>
      <c r="Q1472" s="461">
        <v>0</v>
      </c>
      <c r="R1472" s="461">
        <v>0</v>
      </c>
      <c r="S1472" s="461">
        <v>0</v>
      </c>
      <c r="T1472" s="461">
        <v>0</v>
      </c>
      <c r="U1472" s="461">
        <v>0</v>
      </c>
      <c r="V1472" s="461">
        <v>0</v>
      </c>
    </row>
    <row r="1473" spans="1:22" s="455" customFormat="1" hidden="1">
      <c r="A1473" s="455" t="str">
        <f t="shared" si="44"/>
        <v>19404001030111</v>
      </c>
      <c r="B1473" s="455" t="str">
        <f>VLOOKUP(LEFT($C$3:$C$2600,3),Table!$D$2:$E$88,2,FALSE)</f>
        <v>3rd Party Revenue</v>
      </c>
      <c r="C1473" s="455" t="str">
        <f t="shared" si="45"/>
        <v>4001030111</v>
      </c>
      <c r="D1473" s="455" t="e">
        <f>VLOOKUP(G1473,Table!$G$3:$H$21,2,FALSE)</f>
        <v>#N/A</v>
      </c>
      <c r="E1473" s="452" t="s">
        <v>902</v>
      </c>
      <c r="F1473" s="452" t="s">
        <v>1939</v>
      </c>
      <c r="G1473" s="452" t="s">
        <v>1664</v>
      </c>
      <c r="H1473" s="452" t="s">
        <v>1665</v>
      </c>
      <c r="I1473" s="453" t="s">
        <v>844</v>
      </c>
      <c r="J1473" s="453">
        <v>-1734135.67</v>
      </c>
      <c r="K1473" s="461">
        <v>-528197.93000000005</v>
      </c>
      <c r="L1473" s="461">
        <v>-721114.65</v>
      </c>
      <c r="M1473" s="461">
        <v>-226027.97</v>
      </c>
      <c r="N1473" s="461">
        <v>0</v>
      </c>
      <c r="O1473" s="461">
        <v>0</v>
      </c>
      <c r="P1473" s="461">
        <v>0</v>
      </c>
      <c r="Q1473" s="461">
        <v>0</v>
      </c>
      <c r="R1473" s="461">
        <v>0</v>
      </c>
      <c r="S1473" s="461">
        <v>0</v>
      </c>
      <c r="T1473" s="461">
        <v>0</v>
      </c>
      <c r="U1473" s="461">
        <v>0</v>
      </c>
      <c r="V1473" s="461">
        <v>0</v>
      </c>
    </row>
    <row r="1474" spans="1:22" s="455" customFormat="1" hidden="1">
      <c r="A1474" s="455" t="str">
        <f t="shared" si="44"/>
        <v>19404001510520</v>
      </c>
      <c r="B1474" s="455" t="str">
        <f>VLOOKUP(LEFT($C$3:$C$2600,3),Table!$D$2:$E$88,2,FALSE)</f>
        <v>3rd Party Revenue</v>
      </c>
      <c r="C1474" s="455" t="str">
        <f t="shared" si="45"/>
        <v>4001510520</v>
      </c>
      <c r="D1474" s="455" t="e">
        <f>VLOOKUP(G1474,Table!$G$3:$H$21,2,FALSE)</f>
        <v>#N/A</v>
      </c>
      <c r="E1474" s="452" t="s">
        <v>902</v>
      </c>
      <c r="F1474" s="452" t="s">
        <v>1939</v>
      </c>
      <c r="G1474" s="452" t="s">
        <v>1674</v>
      </c>
      <c r="H1474" s="452" t="s">
        <v>1675</v>
      </c>
      <c r="I1474" s="453" t="s">
        <v>844</v>
      </c>
      <c r="J1474" s="453">
        <v>-5215995.7699999996</v>
      </c>
      <c r="K1474" s="461">
        <v>-1254711.21</v>
      </c>
      <c r="L1474" s="461">
        <v>-1825277.76</v>
      </c>
      <c r="M1474" s="461">
        <v>-1507116.26</v>
      </c>
      <c r="N1474" s="461">
        <v>0</v>
      </c>
      <c r="O1474" s="461">
        <v>0</v>
      </c>
      <c r="P1474" s="461">
        <v>0</v>
      </c>
      <c r="Q1474" s="461">
        <v>0</v>
      </c>
      <c r="R1474" s="461">
        <v>0</v>
      </c>
      <c r="S1474" s="461">
        <v>0</v>
      </c>
      <c r="T1474" s="461">
        <v>0</v>
      </c>
      <c r="U1474" s="461">
        <v>0</v>
      </c>
      <c r="V1474" s="461">
        <v>0</v>
      </c>
    </row>
    <row r="1475" spans="1:22" s="455" customFormat="1" hidden="1">
      <c r="A1475" s="455" t="str">
        <f t="shared" si="44"/>
        <v>19404011030111</v>
      </c>
      <c r="B1475" s="455" t="str">
        <f>VLOOKUP(LEFT($C$3:$C$2600,3),Table!$D$2:$E$88,2,FALSE)</f>
        <v>3rd Party Revenue</v>
      </c>
      <c r="C1475" s="455" t="str">
        <f t="shared" si="45"/>
        <v>4011030111</v>
      </c>
      <c r="D1475" s="455" t="e">
        <f>VLOOKUP(G1475,Table!$G$3:$H$21,2,FALSE)</f>
        <v>#N/A</v>
      </c>
      <c r="E1475" s="452" t="s">
        <v>902</v>
      </c>
      <c r="F1475" s="452" t="s">
        <v>1939</v>
      </c>
      <c r="G1475" s="452" t="s">
        <v>1693</v>
      </c>
      <c r="H1475" s="452" t="s">
        <v>1694</v>
      </c>
      <c r="I1475" s="453" t="s">
        <v>844</v>
      </c>
      <c r="J1475" s="453">
        <v>93777.62</v>
      </c>
      <c r="K1475" s="461">
        <v>0</v>
      </c>
      <c r="L1475" s="461">
        <v>56088.39</v>
      </c>
      <c r="M1475" s="461">
        <v>37689.230000000003</v>
      </c>
      <c r="N1475" s="461">
        <v>0</v>
      </c>
      <c r="O1475" s="461">
        <v>0</v>
      </c>
      <c r="P1475" s="461">
        <v>0</v>
      </c>
      <c r="Q1475" s="461">
        <v>0</v>
      </c>
      <c r="R1475" s="461">
        <v>0</v>
      </c>
      <c r="S1475" s="461">
        <v>0</v>
      </c>
      <c r="T1475" s="461">
        <v>0</v>
      </c>
      <c r="U1475" s="461">
        <v>0</v>
      </c>
      <c r="V1475" s="461">
        <v>0</v>
      </c>
    </row>
    <row r="1476" spans="1:22" s="455" customFormat="1" hidden="1">
      <c r="A1476" s="455" t="str">
        <f t="shared" ref="A1476:A1539" si="46">F1476&amp;G1476</f>
        <v>19404011510520</v>
      </c>
      <c r="B1476" s="455" t="str">
        <f>VLOOKUP(LEFT($C$3:$C$2600,3),Table!$D$2:$E$88,2,FALSE)</f>
        <v>3rd Party Revenue</v>
      </c>
      <c r="C1476" s="455" t="str">
        <f t="shared" ref="C1476:C1539" si="47">IF(ISNA(D1476),G1476,D1476)</f>
        <v>4011510520</v>
      </c>
      <c r="D1476" s="455" t="e">
        <f>VLOOKUP(G1476,Table!$G$3:$H$21,2,FALSE)</f>
        <v>#N/A</v>
      </c>
      <c r="E1476" s="452" t="s">
        <v>902</v>
      </c>
      <c r="F1476" s="452" t="s">
        <v>1939</v>
      </c>
      <c r="G1476" s="452" t="s">
        <v>1695</v>
      </c>
      <c r="H1476" s="452" t="s">
        <v>1696</v>
      </c>
      <c r="I1476" s="453" t="s">
        <v>844</v>
      </c>
      <c r="J1476" s="453">
        <v>-3916.89</v>
      </c>
      <c r="K1476" s="461">
        <v>-4753.99</v>
      </c>
      <c r="L1476" s="461">
        <v>837.1</v>
      </c>
      <c r="M1476" s="461">
        <v>0</v>
      </c>
      <c r="N1476" s="461">
        <v>0</v>
      </c>
      <c r="O1476" s="461">
        <v>0</v>
      </c>
      <c r="P1476" s="461">
        <v>0</v>
      </c>
      <c r="Q1476" s="461">
        <v>0</v>
      </c>
      <c r="R1476" s="461">
        <v>0</v>
      </c>
      <c r="S1476" s="461">
        <v>0</v>
      </c>
      <c r="T1476" s="461">
        <v>0</v>
      </c>
      <c r="U1476" s="461">
        <v>0</v>
      </c>
      <c r="V1476" s="461">
        <v>0</v>
      </c>
    </row>
    <row r="1477" spans="1:22" s="455" customFormat="1" hidden="1">
      <c r="A1477" s="455" t="str">
        <f t="shared" si="46"/>
        <v>19404041030011</v>
      </c>
      <c r="B1477" s="455" t="str">
        <f>VLOOKUP(LEFT($C$3:$C$2600,3),Table!$D$2:$E$88,2,FALSE)</f>
        <v>Freight</v>
      </c>
      <c r="C1477" s="455" t="str">
        <f t="shared" si="47"/>
        <v>4041030011</v>
      </c>
      <c r="D1477" s="455" t="e">
        <f>VLOOKUP(G1477,Table!$G$3:$H$21,2,FALSE)</f>
        <v>#N/A</v>
      </c>
      <c r="E1477" s="452" t="s">
        <v>902</v>
      </c>
      <c r="F1477" s="452" t="s">
        <v>1939</v>
      </c>
      <c r="G1477" s="452" t="s">
        <v>1722</v>
      </c>
      <c r="H1477" s="452" t="s">
        <v>1723</v>
      </c>
      <c r="I1477" s="453" t="s">
        <v>844</v>
      </c>
      <c r="J1477" s="453">
        <v>940</v>
      </c>
      <c r="K1477" s="461">
        <v>598</v>
      </c>
      <c r="L1477" s="461">
        <v>0</v>
      </c>
      <c r="M1477" s="461">
        <v>342</v>
      </c>
      <c r="N1477" s="461">
        <v>0</v>
      </c>
      <c r="O1477" s="461">
        <v>0</v>
      </c>
      <c r="P1477" s="461">
        <v>0</v>
      </c>
      <c r="Q1477" s="461">
        <v>0</v>
      </c>
      <c r="R1477" s="461">
        <v>0</v>
      </c>
      <c r="S1477" s="461">
        <v>0</v>
      </c>
      <c r="T1477" s="461">
        <v>0</v>
      </c>
      <c r="U1477" s="461">
        <v>0</v>
      </c>
      <c r="V1477" s="461">
        <v>0</v>
      </c>
    </row>
    <row r="1478" spans="1:22" s="455" customFormat="1" hidden="1">
      <c r="A1478" s="455" t="str">
        <f t="shared" si="46"/>
        <v>19404041030111</v>
      </c>
      <c r="B1478" s="455" t="str">
        <f>VLOOKUP(LEFT($C$3:$C$2600,3),Table!$D$2:$E$88,2,FALSE)</f>
        <v>Freight</v>
      </c>
      <c r="C1478" s="455" t="str">
        <f t="shared" si="47"/>
        <v>4041030111</v>
      </c>
      <c r="D1478" s="455" t="e">
        <f>VLOOKUP(G1478,Table!$G$3:$H$21,2,FALSE)</f>
        <v>#N/A</v>
      </c>
      <c r="E1478" s="452" t="s">
        <v>902</v>
      </c>
      <c r="F1478" s="452" t="s">
        <v>1939</v>
      </c>
      <c r="G1478" s="452" t="s">
        <v>1724</v>
      </c>
      <c r="H1478" s="452" t="s">
        <v>1725</v>
      </c>
      <c r="I1478" s="453" t="s">
        <v>844</v>
      </c>
      <c r="J1478" s="453">
        <v>7042.55</v>
      </c>
      <c r="K1478" s="461">
        <v>3272.4</v>
      </c>
      <c r="L1478" s="461">
        <v>2718</v>
      </c>
      <c r="M1478" s="461">
        <v>1052.1500000000001</v>
      </c>
      <c r="N1478" s="461">
        <v>0</v>
      </c>
      <c r="O1478" s="461">
        <v>0</v>
      </c>
      <c r="P1478" s="461">
        <v>0</v>
      </c>
      <c r="Q1478" s="461">
        <v>0</v>
      </c>
      <c r="R1478" s="461">
        <v>0</v>
      </c>
      <c r="S1478" s="461">
        <v>0</v>
      </c>
      <c r="T1478" s="461">
        <v>0</v>
      </c>
      <c r="U1478" s="461">
        <v>0</v>
      </c>
      <c r="V1478" s="461">
        <v>0</v>
      </c>
    </row>
    <row r="1479" spans="1:22" s="455" customFormat="1" hidden="1">
      <c r="A1479" s="455" t="str">
        <f t="shared" si="46"/>
        <v>19404041510520</v>
      </c>
      <c r="B1479" s="455" t="str">
        <f>VLOOKUP(LEFT($C$3:$C$2600,3),Table!$D$2:$E$88,2,FALSE)</f>
        <v>Freight</v>
      </c>
      <c r="C1479" s="455" t="str">
        <f t="shared" si="47"/>
        <v>4041510520</v>
      </c>
      <c r="D1479" s="455" t="e">
        <f>VLOOKUP(G1479,Table!$G$3:$H$21,2,FALSE)</f>
        <v>#N/A</v>
      </c>
      <c r="E1479" s="452" t="s">
        <v>902</v>
      </c>
      <c r="F1479" s="452" t="s">
        <v>1939</v>
      </c>
      <c r="G1479" s="452" t="s">
        <v>1734</v>
      </c>
      <c r="H1479" s="452" t="s">
        <v>1735</v>
      </c>
      <c r="I1479" s="453" t="s">
        <v>844</v>
      </c>
      <c r="J1479" s="453">
        <v>18237.849999999999</v>
      </c>
      <c r="K1479" s="461">
        <v>5431.8</v>
      </c>
      <c r="L1479" s="461">
        <v>6878</v>
      </c>
      <c r="M1479" s="461">
        <v>5928.05</v>
      </c>
      <c r="N1479" s="461">
        <v>0</v>
      </c>
      <c r="O1479" s="461">
        <v>0</v>
      </c>
      <c r="P1479" s="461">
        <v>0</v>
      </c>
      <c r="Q1479" s="461">
        <v>0</v>
      </c>
      <c r="R1479" s="461">
        <v>0</v>
      </c>
      <c r="S1479" s="461">
        <v>0</v>
      </c>
      <c r="T1479" s="461">
        <v>0</v>
      </c>
      <c r="U1479" s="461">
        <v>0</v>
      </c>
      <c r="V1479" s="461">
        <v>0</v>
      </c>
    </row>
    <row r="1480" spans="1:22" s="455" customFormat="1" hidden="1">
      <c r="A1480" s="455" t="str">
        <f t="shared" si="46"/>
        <v>19405011030011</v>
      </c>
      <c r="B1480" s="455" t="str">
        <f>VLOOKUP(LEFT($C$3:$C$2600,3),Table!$D$2:$E$88,2,FALSE)</f>
        <v>3rd Party Contracted Metal</v>
      </c>
      <c r="C1480" s="455" t="str">
        <f t="shared" si="47"/>
        <v>5011030011</v>
      </c>
      <c r="D1480" s="455" t="e">
        <f>VLOOKUP(G1480,Table!$G$3:$H$21,2,FALSE)</f>
        <v>#N/A</v>
      </c>
      <c r="E1480" s="452" t="s">
        <v>902</v>
      </c>
      <c r="F1480" s="452" t="s">
        <v>1939</v>
      </c>
      <c r="G1480" s="452" t="s">
        <v>1785</v>
      </c>
      <c r="H1480" s="452" t="s">
        <v>1786</v>
      </c>
      <c r="I1480" s="453" t="s">
        <v>844</v>
      </c>
      <c r="J1480" s="453">
        <v>1060995.19</v>
      </c>
      <c r="K1480" s="461">
        <v>414378.03</v>
      </c>
      <c r="L1480" s="461">
        <v>483871.05</v>
      </c>
      <c r="M1480" s="461">
        <v>162746.10999999999</v>
      </c>
      <c r="N1480" s="461">
        <v>0</v>
      </c>
      <c r="O1480" s="461">
        <v>0</v>
      </c>
      <c r="P1480" s="461">
        <v>0</v>
      </c>
      <c r="Q1480" s="461">
        <v>0</v>
      </c>
      <c r="R1480" s="461">
        <v>0</v>
      </c>
      <c r="S1480" s="461">
        <v>0</v>
      </c>
      <c r="T1480" s="461">
        <v>0</v>
      </c>
      <c r="U1480" s="461">
        <v>0</v>
      </c>
      <c r="V1480" s="461">
        <v>0</v>
      </c>
    </row>
    <row r="1481" spans="1:22" s="455" customFormat="1" hidden="1">
      <c r="A1481" s="455" t="str">
        <f t="shared" si="46"/>
        <v>19405011510520</v>
      </c>
      <c r="B1481" s="455" t="str">
        <f>VLOOKUP(LEFT($C$3:$C$2600,3),Table!$D$2:$E$88,2,FALSE)</f>
        <v>3rd Party Contracted Metal</v>
      </c>
      <c r="C1481" s="455" t="str">
        <f t="shared" si="47"/>
        <v>5011510520</v>
      </c>
      <c r="D1481" s="455" t="e">
        <f>VLOOKUP(G1481,Table!$G$3:$H$21,2,FALSE)</f>
        <v>#N/A</v>
      </c>
      <c r="E1481" s="452" t="s">
        <v>902</v>
      </c>
      <c r="F1481" s="452" t="s">
        <v>1939</v>
      </c>
      <c r="G1481" s="452" t="s">
        <v>1793</v>
      </c>
      <c r="H1481" s="452" t="s">
        <v>1794</v>
      </c>
      <c r="I1481" s="453" t="s">
        <v>844</v>
      </c>
      <c r="J1481" s="453">
        <v>3354694.41</v>
      </c>
      <c r="K1481" s="461">
        <v>927714.02</v>
      </c>
      <c r="L1481" s="461">
        <v>1335826.31</v>
      </c>
      <c r="M1481" s="461">
        <v>1091154.08</v>
      </c>
      <c r="N1481" s="461">
        <v>0</v>
      </c>
      <c r="O1481" s="461">
        <v>0</v>
      </c>
      <c r="P1481" s="461">
        <v>0</v>
      </c>
      <c r="Q1481" s="461">
        <v>0</v>
      </c>
      <c r="R1481" s="461">
        <v>0</v>
      </c>
      <c r="S1481" s="461">
        <v>0</v>
      </c>
      <c r="T1481" s="461">
        <v>0</v>
      </c>
      <c r="U1481" s="461">
        <v>0</v>
      </c>
      <c r="V1481" s="461">
        <v>0</v>
      </c>
    </row>
    <row r="1482" spans="1:22" s="455" customFormat="1" hidden="1">
      <c r="A1482" s="455" t="str">
        <f t="shared" si="46"/>
        <v>19405021030011</v>
      </c>
      <c r="B1482" s="455" t="str">
        <f>VLOOKUP(LEFT($C$3:$C$2600,3),Table!$D$2:$E$88,2,FALSE)</f>
        <v>3rd Party Contracted Metal</v>
      </c>
      <c r="C1482" s="455" t="str">
        <f t="shared" si="47"/>
        <v>5021030011</v>
      </c>
      <c r="D1482" s="455" t="e">
        <f>VLOOKUP(G1482,Table!$G$3:$H$21,2,FALSE)</f>
        <v>#N/A</v>
      </c>
      <c r="E1482" s="452" t="s">
        <v>902</v>
      </c>
      <c r="F1482" s="452" t="s">
        <v>1939</v>
      </c>
      <c r="G1482" s="452" t="s">
        <v>2584</v>
      </c>
      <c r="H1482" s="452" t="s">
        <v>2585</v>
      </c>
      <c r="I1482" s="453" t="s">
        <v>844</v>
      </c>
      <c r="J1482" s="453">
        <v>1048.43</v>
      </c>
      <c r="K1482" s="461">
        <v>0</v>
      </c>
      <c r="L1482" s="461">
        <v>503.12</v>
      </c>
      <c r="M1482" s="461">
        <v>545.30999999999995</v>
      </c>
      <c r="N1482" s="461">
        <v>0</v>
      </c>
      <c r="O1482" s="461">
        <v>0</v>
      </c>
      <c r="P1482" s="461">
        <v>0</v>
      </c>
      <c r="Q1482" s="461">
        <v>0</v>
      </c>
      <c r="R1482" s="461">
        <v>0</v>
      </c>
      <c r="S1482" s="461">
        <v>0</v>
      </c>
      <c r="T1482" s="461">
        <v>0</v>
      </c>
      <c r="U1482" s="461">
        <v>0</v>
      </c>
      <c r="V1482" s="461">
        <v>0</v>
      </c>
    </row>
    <row r="1483" spans="1:22" s="455" customFormat="1" hidden="1">
      <c r="A1483" s="455" t="str">
        <f t="shared" si="46"/>
        <v>19405021510520</v>
      </c>
      <c r="B1483" s="455" t="str">
        <f>VLOOKUP(LEFT($C$3:$C$2600,3),Table!$D$2:$E$88,2,FALSE)</f>
        <v>3rd Party Contracted Metal</v>
      </c>
      <c r="C1483" s="455" t="str">
        <f t="shared" si="47"/>
        <v>5021510520</v>
      </c>
      <c r="D1483" s="455" t="e">
        <f>VLOOKUP(G1483,Table!$G$3:$H$21,2,FALSE)</f>
        <v>#N/A</v>
      </c>
      <c r="E1483" s="452" t="s">
        <v>902</v>
      </c>
      <c r="F1483" s="452" t="s">
        <v>1939</v>
      </c>
      <c r="G1483" s="452" t="s">
        <v>1808</v>
      </c>
      <c r="H1483" s="452" t="s">
        <v>1809</v>
      </c>
      <c r="I1483" s="453" t="s">
        <v>844</v>
      </c>
      <c r="J1483" s="453">
        <v>5216.2700000000004</v>
      </c>
      <c r="K1483" s="461">
        <v>1708.26</v>
      </c>
      <c r="L1483" s="461">
        <v>1990.02</v>
      </c>
      <c r="M1483" s="461">
        <v>1517.99</v>
      </c>
      <c r="N1483" s="461">
        <v>0</v>
      </c>
      <c r="O1483" s="461">
        <v>0</v>
      </c>
      <c r="P1483" s="461">
        <v>0</v>
      </c>
      <c r="Q1483" s="461">
        <v>0</v>
      </c>
      <c r="R1483" s="461">
        <v>0</v>
      </c>
      <c r="S1483" s="461">
        <v>0</v>
      </c>
      <c r="T1483" s="461">
        <v>0</v>
      </c>
      <c r="U1483" s="461">
        <v>0</v>
      </c>
      <c r="V1483" s="461">
        <v>0</v>
      </c>
    </row>
    <row r="1484" spans="1:22" s="455" customFormat="1" hidden="1">
      <c r="A1484" s="455" t="str">
        <f t="shared" si="46"/>
        <v>19405031030011</v>
      </c>
      <c r="B1484" s="455" t="str">
        <f>VLOOKUP(LEFT($C$3:$C$2600,3),Table!$D$2:$E$88,2,FALSE)</f>
        <v>Melt Loss</v>
      </c>
      <c r="C1484" s="455" t="str">
        <f t="shared" si="47"/>
        <v>5031030011</v>
      </c>
      <c r="D1484" s="455" t="e">
        <f>VLOOKUP(G1484,Table!$G$3:$H$21,2,FALSE)</f>
        <v>#N/A</v>
      </c>
      <c r="E1484" s="452" t="s">
        <v>902</v>
      </c>
      <c r="F1484" s="452" t="s">
        <v>1939</v>
      </c>
      <c r="G1484" s="452" t="s">
        <v>1824</v>
      </c>
      <c r="H1484" s="452" t="s">
        <v>1825</v>
      </c>
      <c r="I1484" s="453" t="s">
        <v>844</v>
      </c>
      <c r="J1484" s="453">
        <v>38624.230000000003</v>
      </c>
      <c r="K1484" s="461">
        <v>11701.28</v>
      </c>
      <c r="L1484" s="461">
        <v>22047.07</v>
      </c>
      <c r="M1484" s="461">
        <v>4875.88</v>
      </c>
      <c r="N1484" s="461">
        <v>0</v>
      </c>
      <c r="O1484" s="461">
        <v>0</v>
      </c>
      <c r="P1484" s="461">
        <v>0</v>
      </c>
      <c r="Q1484" s="461">
        <v>0</v>
      </c>
      <c r="R1484" s="461">
        <v>0</v>
      </c>
      <c r="S1484" s="461">
        <v>0</v>
      </c>
      <c r="T1484" s="461">
        <v>0</v>
      </c>
      <c r="U1484" s="461">
        <v>0</v>
      </c>
      <c r="V1484" s="461">
        <v>0</v>
      </c>
    </row>
    <row r="1485" spans="1:22" s="455" customFormat="1" hidden="1">
      <c r="A1485" s="455" t="str">
        <f t="shared" si="46"/>
        <v>19405031510520</v>
      </c>
      <c r="B1485" s="455" t="str">
        <f>VLOOKUP(LEFT($C$3:$C$2600,3),Table!$D$2:$E$88,2,FALSE)</f>
        <v>Melt Loss</v>
      </c>
      <c r="C1485" s="455" t="str">
        <f t="shared" si="47"/>
        <v>5031510520</v>
      </c>
      <c r="D1485" s="455" t="e">
        <f>VLOOKUP(G1485,Table!$G$3:$H$21,2,FALSE)</f>
        <v>#N/A</v>
      </c>
      <c r="E1485" s="452" t="s">
        <v>902</v>
      </c>
      <c r="F1485" s="452" t="s">
        <v>1939</v>
      </c>
      <c r="G1485" s="452" t="s">
        <v>1832</v>
      </c>
      <c r="H1485" s="452" t="s">
        <v>1833</v>
      </c>
      <c r="I1485" s="453" t="s">
        <v>844</v>
      </c>
      <c r="J1485" s="453">
        <v>119753.94</v>
      </c>
      <c r="K1485" s="461">
        <v>26197.1</v>
      </c>
      <c r="L1485" s="461">
        <v>60865.62</v>
      </c>
      <c r="M1485" s="461">
        <v>32691.22</v>
      </c>
      <c r="N1485" s="461">
        <v>0</v>
      </c>
      <c r="O1485" s="461">
        <v>0</v>
      </c>
      <c r="P1485" s="461">
        <v>0</v>
      </c>
      <c r="Q1485" s="461">
        <v>0</v>
      </c>
      <c r="R1485" s="461">
        <v>0</v>
      </c>
      <c r="S1485" s="461">
        <v>0</v>
      </c>
      <c r="T1485" s="461">
        <v>0</v>
      </c>
      <c r="U1485" s="461">
        <v>0</v>
      </c>
      <c r="V1485" s="461">
        <v>0</v>
      </c>
    </row>
    <row r="1486" spans="1:22" s="455" customFormat="1" hidden="1">
      <c r="A1486" s="455" t="str">
        <f t="shared" si="46"/>
        <v>19405041030011</v>
      </c>
      <c r="B1486" s="455" t="str">
        <f>VLOOKUP(LEFT($C$3:$C$2600,3),Table!$D$2:$E$88,2,FALSE)</f>
        <v>3rd Party Contracted Metal</v>
      </c>
      <c r="C1486" s="455" t="str">
        <f t="shared" si="47"/>
        <v>5041030011</v>
      </c>
      <c r="D1486" s="455" t="e">
        <f>VLOOKUP(G1486,Table!$G$3:$H$21,2,FALSE)</f>
        <v>#N/A</v>
      </c>
      <c r="E1486" s="452" t="s">
        <v>902</v>
      </c>
      <c r="F1486" s="452" t="s">
        <v>1939</v>
      </c>
      <c r="G1486" s="452" t="s">
        <v>1845</v>
      </c>
      <c r="H1486" s="452" t="s">
        <v>1846</v>
      </c>
      <c r="I1486" s="453" t="s">
        <v>844</v>
      </c>
      <c r="J1486" s="453">
        <v>-47951.56</v>
      </c>
      <c r="K1486" s="461">
        <v>-21033.439999999999</v>
      </c>
      <c r="L1486" s="461">
        <v>-20668.72</v>
      </c>
      <c r="M1486" s="461">
        <v>-6249.4</v>
      </c>
      <c r="N1486" s="461">
        <v>0</v>
      </c>
      <c r="O1486" s="461">
        <v>0</v>
      </c>
      <c r="P1486" s="461">
        <v>0</v>
      </c>
      <c r="Q1486" s="461">
        <v>0</v>
      </c>
      <c r="R1486" s="461">
        <v>0</v>
      </c>
      <c r="S1486" s="461">
        <v>0</v>
      </c>
      <c r="T1486" s="461">
        <v>0</v>
      </c>
      <c r="U1486" s="461">
        <v>0</v>
      </c>
      <c r="V1486" s="461">
        <v>0</v>
      </c>
    </row>
    <row r="1487" spans="1:22" s="455" customFormat="1" hidden="1">
      <c r="A1487" s="455" t="str">
        <f t="shared" si="46"/>
        <v>19405041510520</v>
      </c>
      <c r="B1487" s="455" t="str">
        <f>VLOOKUP(LEFT($C$3:$C$2600,3),Table!$D$2:$E$88,2,FALSE)</f>
        <v>3rd Party Contracted Metal</v>
      </c>
      <c r="C1487" s="455" t="str">
        <f t="shared" si="47"/>
        <v>5041510520</v>
      </c>
      <c r="D1487" s="455" t="e">
        <f>VLOOKUP(G1487,Table!$G$3:$H$21,2,FALSE)</f>
        <v>#N/A</v>
      </c>
      <c r="E1487" s="452" t="s">
        <v>902</v>
      </c>
      <c r="F1487" s="452" t="s">
        <v>1939</v>
      </c>
      <c r="G1487" s="452" t="s">
        <v>1853</v>
      </c>
      <c r="H1487" s="452" t="s">
        <v>1854</v>
      </c>
      <c r="I1487" s="453" t="s">
        <v>844</v>
      </c>
      <c r="J1487" s="453">
        <v>-146049.91</v>
      </c>
      <c r="K1487" s="461">
        <v>-47089.65</v>
      </c>
      <c r="L1487" s="461">
        <v>-57060.53</v>
      </c>
      <c r="M1487" s="461">
        <v>-41899.730000000003</v>
      </c>
      <c r="N1487" s="461">
        <v>0</v>
      </c>
      <c r="O1487" s="461">
        <v>0</v>
      </c>
      <c r="P1487" s="461">
        <v>0</v>
      </c>
      <c r="Q1487" s="461">
        <v>0</v>
      </c>
      <c r="R1487" s="461">
        <v>0</v>
      </c>
      <c r="S1487" s="461">
        <v>0</v>
      </c>
      <c r="T1487" s="461">
        <v>0</v>
      </c>
      <c r="U1487" s="461">
        <v>0</v>
      </c>
      <c r="V1487" s="461">
        <v>0</v>
      </c>
    </row>
    <row r="1488" spans="1:22" s="455" customFormat="1" hidden="1">
      <c r="A1488" s="455" t="str">
        <f t="shared" si="46"/>
        <v>19405051030011</v>
      </c>
      <c r="B1488" s="455" t="str">
        <f>VLOOKUP(LEFT($C$3:$C$2600,3),Table!$D$2:$E$88,2,FALSE)</f>
        <v>Dross Savings</v>
      </c>
      <c r="C1488" s="455" t="str">
        <f t="shared" si="47"/>
        <v>5051030011</v>
      </c>
      <c r="D1488" s="455" t="e">
        <f>VLOOKUP(G1488,Table!$G$3:$H$21,2,FALSE)</f>
        <v>#N/A</v>
      </c>
      <c r="E1488" s="452" t="s">
        <v>902</v>
      </c>
      <c r="F1488" s="452" t="s">
        <v>1939</v>
      </c>
      <c r="G1488" s="452" t="s">
        <v>1866</v>
      </c>
      <c r="H1488" s="452" t="s">
        <v>1867</v>
      </c>
      <c r="I1488" s="453" t="s">
        <v>844</v>
      </c>
      <c r="J1488" s="453">
        <v>-13049.1</v>
      </c>
      <c r="K1488" s="461">
        <v>-6018.51</v>
      </c>
      <c r="L1488" s="461">
        <v>-4438.76</v>
      </c>
      <c r="M1488" s="461">
        <v>-2591.83</v>
      </c>
      <c r="N1488" s="461">
        <v>0</v>
      </c>
      <c r="O1488" s="461">
        <v>0</v>
      </c>
      <c r="P1488" s="461">
        <v>0</v>
      </c>
      <c r="Q1488" s="461">
        <v>0</v>
      </c>
      <c r="R1488" s="461">
        <v>0</v>
      </c>
      <c r="S1488" s="461">
        <v>0</v>
      </c>
      <c r="T1488" s="461">
        <v>0</v>
      </c>
      <c r="U1488" s="461">
        <v>0</v>
      </c>
      <c r="V1488" s="461">
        <v>0</v>
      </c>
    </row>
    <row r="1489" spans="1:22" s="455" customFormat="1" hidden="1">
      <c r="A1489" s="455" t="str">
        <f t="shared" si="46"/>
        <v>19405051510520</v>
      </c>
      <c r="B1489" s="455" t="str">
        <f>VLOOKUP(LEFT($C$3:$C$2600,3),Table!$D$2:$E$88,2,FALSE)</f>
        <v>Dross Savings</v>
      </c>
      <c r="C1489" s="455" t="str">
        <f t="shared" si="47"/>
        <v>5051510520</v>
      </c>
      <c r="D1489" s="455" t="e">
        <f>VLOOKUP(G1489,Table!$G$3:$H$21,2,FALSE)</f>
        <v>#N/A</v>
      </c>
      <c r="E1489" s="452" t="s">
        <v>902</v>
      </c>
      <c r="F1489" s="452" t="s">
        <v>1939</v>
      </c>
      <c r="G1489" s="452" t="s">
        <v>1874</v>
      </c>
      <c r="H1489" s="452" t="s">
        <v>1875</v>
      </c>
      <c r="I1489" s="453" t="s">
        <v>844</v>
      </c>
      <c r="J1489" s="453">
        <v>-43106.11</v>
      </c>
      <c r="K1489" s="461">
        <v>-13474.35</v>
      </c>
      <c r="L1489" s="461">
        <v>-12254.24</v>
      </c>
      <c r="M1489" s="461">
        <v>-17377.52</v>
      </c>
      <c r="N1489" s="461">
        <v>0</v>
      </c>
      <c r="O1489" s="461">
        <v>0</v>
      </c>
      <c r="P1489" s="461">
        <v>0</v>
      </c>
      <c r="Q1489" s="461">
        <v>0</v>
      </c>
      <c r="R1489" s="461">
        <v>0</v>
      </c>
      <c r="S1489" s="461">
        <v>0</v>
      </c>
      <c r="T1489" s="461">
        <v>0</v>
      </c>
      <c r="U1489" s="461">
        <v>0</v>
      </c>
      <c r="V1489" s="461">
        <v>0</v>
      </c>
    </row>
    <row r="1490" spans="1:22" s="455" customFormat="1" hidden="1">
      <c r="A1490" s="455" t="str">
        <f t="shared" si="46"/>
        <v>19405111030011</v>
      </c>
      <c r="B1490" s="455" t="str">
        <f>VLOOKUP(LEFT($C$3:$C$2600,3),Table!$D$2:$E$88,2,FALSE)</f>
        <v>Direct cost</v>
      </c>
      <c r="C1490" s="455" t="str">
        <f t="shared" si="47"/>
        <v>5111030011</v>
      </c>
      <c r="D1490" s="455" t="e">
        <f>VLOOKUP(G1490,Table!$G$3:$H$21,2,FALSE)</f>
        <v>#N/A</v>
      </c>
      <c r="E1490" s="452" t="s">
        <v>902</v>
      </c>
      <c r="F1490" s="452" t="s">
        <v>1939</v>
      </c>
      <c r="G1490" s="452" t="s">
        <v>1887</v>
      </c>
      <c r="H1490" s="452" t="s">
        <v>1888</v>
      </c>
      <c r="I1490" s="453" t="s">
        <v>844</v>
      </c>
      <c r="J1490" s="453">
        <v>126048.69</v>
      </c>
      <c r="K1490" s="461">
        <v>48242.19</v>
      </c>
      <c r="L1490" s="461">
        <v>58730.83</v>
      </c>
      <c r="M1490" s="461">
        <v>19075.669999999998</v>
      </c>
      <c r="N1490" s="461">
        <v>0</v>
      </c>
      <c r="O1490" s="461">
        <v>0</v>
      </c>
      <c r="P1490" s="461">
        <v>0</v>
      </c>
      <c r="Q1490" s="461">
        <v>0</v>
      </c>
      <c r="R1490" s="461">
        <v>0</v>
      </c>
      <c r="S1490" s="461">
        <v>0</v>
      </c>
      <c r="T1490" s="461">
        <v>0</v>
      </c>
      <c r="U1490" s="461">
        <v>0</v>
      </c>
      <c r="V1490" s="461">
        <v>0</v>
      </c>
    </row>
    <row r="1491" spans="1:22" s="455" customFormat="1" hidden="1">
      <c r="A1491" s="455" t="str">
        <f t="shared" si="46"/>
        <v>19405111510520</v>
      </c>
      <c r="B1491" s="455" t="str">
        <f>VLOOKUP(LEFT($C$3:$C$2600,3),Table!$D$2:$E$88,2,FALSE)</f>
        <v>Direct cost</v>
      </c>
      <c r="C1491" s="455" t="str">
        <f t="shared" si="47"/>
        <v>5111510520</v>
      </c>
      <c r="D1491" s="455" t="e">
        <f>VLOOKUP(G1491,Table!$G$3:$H$21,2,FALSE)</f>
        <v>#N/A</v>
      </c>
      <c r="E1491" s="452" t="s">
        <v>902</v>
      </c>
      <c r="F1491" s="452" t="s">
        <v>1939</v>
      </c>
      <c r="G1491" s="452" t="s">
        <v>1895</v>
      </c>
      <c r="H1491" s="452" t="s">
        <v>1896</v>
      </c>
      <c r="I1491" s="453" t="s">
        <v>844</v>
      </c>
      <c r="J1491" s="453">
        <v>570874.41</v>
      </c>
      <c r="K1491" s="461">
        <v>148490.64000000001</v>
      </c>
      <c r="L1491" s="461">
        <v>239697.23</v>
      </c>
      <c r="M1491" s="461">
        <v>182686.54</v>
      </c>
      <c r="N1491" s="461">
        <v>0</v>
      </c>
      <c r="O1491" s="461">
        <v>0</v>
      </c>
      <c r="P1491" s="461">
        <v>0</v>
      </c>
      <c r="Q1491" s="461">
        <v>0</v>
      </c>
      <c r="R1491" s="461">
        <v>0</v>
      </c>
      <c r="S1491" s="461">
        <v>0</v>
      </c>
      <c r="T1491" s="461">
        <v>0</v>
      </c>
      <c r="U1491" s="461">
        <v>0</v>
      </c>
      <c r="V1491" s="461">
        <v>0</v>
      </c>
    </row>
    <row r="1492" spans="1:22" s="455" customFormat="1" hidden="1">
      <c r="A1492" s="455" t="str">
        <f t="shared" si="46"/>
        <v>19405121030011</v>
      </c>
      <c r="B1492" s="455" t="str">
        <f>VLOOKUP(LEFT($C$3:$C$2600,3),Table!$D$2:$E$88,2,FALSE)</f>
        <v>Period cost</v>
      </c>
      <c r="C1492" s="455" t="str">
        <f t="shared" si="47"/>
        <v>5121030011</v>
      </c>
      <c r="D1492" s="455" t="e">
        <f>VLOOKUP(G1492,Table!$G$3:$H$21,2,FALSE)</f>
        <v>#N/A</v>
      </c>
      <c r="E1492" s="452" t="s">
        <v>902</v>
      </c>
      <c r="F1492" s="452" t="s">
        <v>1939</v>
      </c>
      <c r="G1492" s="452" t="s">
        <v>1916</v>
      </c>
      <c r="H1492" s="452" t="s">
        <v>1917</v>
      </c>
      <c r="I1492" s="453" t="s">
        <v>844</v>
      </c>
      <c r="J1492" s="453">
        <v>98903.54</v>
      </c>
      <c r="K1492" s="461">
        <v>36645.06</v>
      </c>
      <c r="L1492" s="461">
        <v>47176.7</v>
      </c>
      <c r="M1492" s="461">
        <v>15081.78</v>
      </c>
      <c r="N1492" s="461">
        <v>0</v>
      </c>
      <c r="O1492" s="461">
        <v>0</v>
      </c>
      <c r="P1492" s="461">
        <v>0</v>
      </c>
      <c r="Q1492" s="461">
        <v>0</v>
      </c>
      <c r="R1492" s="461">
        <v>0</v>
      </c>
      <c r="S1492" s="461">
        <v>0</v>
      </c>
      <c r="T1492" s="461">
        <v>0</v>
      </c>
      <c r="U1492" s="461">
        <v>0</v>
      </c>
      <c r="V1492" s="461">
        <v>0</v>
      </c>
    </row>
    <row r="1493" spans="1:22" s="455" customFormat="1" hidden="1">
      <c r="A1493" s="455" t="str">
        <f t="shared" si="46"/>
        <v>19405121510520</v>
      </c>
      <c r="B1493" s="455" t="str">
        <f>VLOOKUP(LEFT($C$3:$C$2600,3),Table!$D$2:$E$88,2,FALSE)</f>
        <v>Period cost</v>
      </c>
      <c r="C1493" s="455" t="str">
        <f t="shared" si="47"/>
        <v>5121510520</v>
      </c>
      <c r="D1493" s="455" t="e">
        <f>VLOOKUP(G1493,Table!$G$3:$H$21,2,FALSE)</f>
        <v>#N/A</v>
      </c>
      <c r="E1493" s="452" t="s">
        <v>902</v>
      </c>
      <c r="F1493" s="452" t="s">
        <v>1939</v>
      </c>
      <c r="G1493" s="452" t="s">
        <v>1924</v>
      </c>
      <c r="H1493" s="452" t="s">
        <v>1925</v>
      </c>
      <c r="I1493" s="453" t="s">
        <v>844</v>
      </c>
      <c r="J1493" s="453">
        <v>395587.18</v>
      </c>
      <c r="K1493" s="461">
        <v>98223.42</v>
      </c>
      <c r="L1493" s="461">
        <v>163594.54999999999</v>
      </c>
      <c r="M1493" s="461">
        <v>133769.21</v>
      </c>
      <c r="N1493" s="461">
        <v>0</v>
      </c>
      <c r="O1493" s="461">
        <v>0</v>
      </c>
      <c r="P1493" s="461">
        <v>0</v>
      </c>
      <c r="Q1493" s="461">
        <v>0</v>
      </c>
      <c r="R1493" s="461">
        <v>0</v>
      </c>
      <c r="S1493" s="461">
        <v>0</v>
      </c>
      <c r="T1493" s="461">
        <v>0</v>
      </c>
      <c r="U1493" s="461">
        <v>0</v>
      </c>
      <c r="V1493" s="461">
        <v>0</v>
      </c>
    </row>
    <row r="1494" spans="1:22" s="455" customFormat="1" hidden="1">
      <c r="A1494" s="455" t="str">
        <f t="shared" si="46"/>
        <v>19454001010211</v>
      </c>
      <c r="B1494" s="455" t="str">
        <f>VLOOKUP(LEFT($C$3:$C$2600,3),Table!$D$2:$E$88,2,FALSE)</f>
        <v>3rd Party Revenue</v>
      </c>
      <c r="C1494" s="455" t="str">
        <f t="shared" si="47"/>
        <v>4001010211</v>
      </c>
      <c r="D1494" s="455" t="e">
        <f>VLOOKUP(G1494,Table!$G$3:$H$21,2,FALSE)</f>
        <v>#N/A</v>
      </c>
      <c r="E1494" s="452" t="s">
        <v>902</v>
      </c>
      <c r="F1494" s="452" t="s">
        <v>1940</v>
      </c>
      <c r="G1494" s="452" t="s">
        <v>1658</v>
      </c>
      <c r="H1494" s="452" t="s">
        <v>1659</v>
      </c>
      <c r="I1494" s="453" t="s">
        <v>844</v>
      </c>
      <c r="J1494" s="453">
        <v>-191956.79</v>
      </c>
      <c r="K1494" s="461">
        <v>-53669</v>
      </c>
      <c r="L1494" s="461">
        <v>-87849.59</v>
      </c>
      <c r="M1494" s="461">
        <v>-50438.2</v>
      </c>
      <c r="N1494" s="461">
        <v>0</v>
      </c>
      <c r="O1494" s="461">
        <v>0</v>
      </c>
      <c r="P1494" s="461">
        <v>0</v>
      </c>
      <c r="Q1494" s="461">
        <v>0</v>
      </c>
      <c r="R1494" s="461">
        <v>0</v>
      </c>
      <c r="S1494" s="461">
        <v>0</v>
      </c>
      <c r="T1494" s="461">
        <v>0</v>
      </c>
      <c r="U1494" s="461">
        <v>0</v>
      </c>
      <c r="V1494" s="461">
        <v>0</v>
      </c>
    </row>
    <row r="1495" spans="1:22" s="455" customFormat="1" hidden="1">
      <c r="A1495" s="455" t="str">
        <f t="shared" si="46"/>
        <v>19454001510520</v>
      </c>
      <c r="B1495" s="455" t="str">
        <f>VLOOKUP(LEFT($C$3:$C$2600,3),Table!$D$2:$E$88,2,FALSE)</f>
        <v>3rd Party Revenue</v>
      </c>
      <c r="C1495" s="455" t="str">
        <f t="shared" si="47"/>
        <v>4001510520</v>
      </c>
      <c r="D1495" s="455" t="e">
        <f>VLOOKUP(G1495,Table!$G$3:$H$21,2,FALSE)</f>
        <v>#N/A</v>
      </c>
      <c r="E1495" s="452" t="s">
        <v>902</v>
      </c>
      <c r="F1495" s="452" t="s">
        <v>1940</v>
      </c>
      <c r="G1495" s="452" t="s">
        <v>1674</v>
      </c>
      <c r="H1495" s="452" t="s">
        <v>1675</v>
      </c>
      <c r="I1495" s="453" t="s">
        <v>844</v>
      </c>
      <c r="J1495" s="453">
        <v>-542830.67000000004</v>
      </c>
      <c r="K1495" s="461">
        <v>-147500.92000000001</v>
      </c>
      <c r="L1495" s="461">
        <v>-104143.01</v>
      </c>
      <c r="M1495" s="461">
        <v>-213738.74</v>
      </c>
      <c r="N1495" s="461">
        <v>0</v>
      </c>
      <c r="O1495" s="461">
        <v>0</v>
      </c>
      <c r="P1495" s="461">
        <v>0</v>
      </c>
      <c r="Q1495" s="461">
        <v>0</v>
      </c>
      <c r="R1495" s="461">
        <v>0</v>
      </c>
      <c r="S1495" s="461">
        <v>0</v>
      </c>
      <c r="T1495" s="461">
        <v>0</v>
      </c>
      <c r="U1495" s="461">
        <v>0</v>
      </c>
      <c r="V1495" s="461">
        <v>0</v>
      </c>
    </row>
    <row r="1496" spans="1:22" s="455" customFormat="1" hidden="1">
      <c r="A1496" s="455" t="str">
        <f t="shared" si="46"/>
        <v>19454041010211</v>
      </c>
      <c r="B1496" s="455" t="str">
        <f>VLOOKUP(LEFT($C$3:$C$2600,3),Table!$D$2:$E$88,2,FALSE)</f>
        <v>Freight</v>
      </c>
      <c r="C1496" s="455" t="str">
        <f t="shared" si="47"/>
        <v>4041010211</v>
      </c>
      <c r="D1496" s="455" t="e">
        <f>VLOOKUP(G1496,Table!$G$3:$H$21,2,FALSE)</f>
        <v>#N/A</v>
      </c>
      <c r="E1496" s="452" t="s">
        <v>902</v>
      </c>
      <c r="F1496" s="452" t="s">
        <v>1940</v>
      </c>
      <c r="G1496" s="452" t="s">
        <v>1718</v>
      </c>
      <c r="H1496" s="452" t="s">
        <v>1719</v>
      </c>
      <c r="I1496" s="453" t="s">
        <v>844</v>
      </c>
      <c r="J1496" s="453">
        <v>632.45000000000005</v>
      </c>
      <c r="K1496" s="461">
        <v>169.4</v>
      </c>
      <c r="L1496" s="461">
        <v>294.35000000000002</v>
      </c>
      <c r="M1496" s="461">
        <v>168.7</v>
      </c>
      <c r="N1496" s="461">
        <v>0</v>
      </c>
      <c r="O1496" s="461">
        <v>0</v>
      </c>
      <c r="P1496" s="461">
        <v>0</v>
      </c>
      <c r="Q1496" s="461">
        <v>0</v>
      </c>
      <c r="R1496" s="461">
        <v>0</v>
      </c>
      <c r="S1496" s="461">
        <v>0</v>
      </c>
      <c r="T1496" s="461">
        <v>0</v>
      </c>
      <c r="U1496" s="461">
        <v>0</v>
      </c>
      <c r="V1496" s="461">
        <v>0</v>
      </c>
    </row>
    <row r="1497" spans="1:22" s="455" customFormat="1" hidden="1">
      <c r="A1497" s="455" t="str">
        <f t="shared" si="46"/>
        <v>19454041510520</v>
      </c>
      <c r="B1497" s="455" t="str">
        <f>VLOOKUP(LEFT($C$3:$C$2600,3),Table!$D$2:$E$88,2,FALSE)</f>
        <v>Freight</v>
      </c>
      <c r="C1497" s="455" t="str">
        <f t="shared" si="47"/>
        <v>4041510520</v>
      </c>
      <c r="D1497" s="455" t="e">
        <f>VLOOKUP(G1497,Table!$G$3:$H$21,2,FALSE)</f>
        <v>#N/A</v>
      </c>
      <c r="E1497" s="452" t="s">
        <v>902</v>
      </c>
      <c r="F1497" s="452" t="s">
        <v>1940</v>
      </c>
      <c r="G1497" s="452" t="s">
        <v>1734</v>
      </c>
      <c r="H1497" s="452" t="s">
        <v>1735</v>
      </c>
      <c r="I1497" s="453" t="s">
        <v>844</v>
      </c>
      <c r="J1497" s="453">
        <v>1516.55</v>
      </c>
      <c r="K1497" s="461">
        <v>487.55</v>
      </c>
      <c r="L1497" s="461">
        <v>333.9</v>
      </c>
      <c r="M1497" s="461">
        <v>695.1</v>
      </c>
      <c r="N1497" s="461">
        <v>0</v>
      </c>
      <c r="O1497" s="461">
        <v>0</v>
      </c>
      <c r="P1497" s="461">
        <v>0</v>
      </c>
      <c r="Q1497" s="461">
        <v>0</v>
      </c>
      <c r="R1497" s="461">
        <v>0</v>
      </c>
      <c r="S1497" s="461">
        <v>0</v>
      </c>
      <c r="T1497" s="461">
        <v>0</v>
      </c>
      <c r="U1497" s="461">
        <v>0</v>
      </c>
      <c r="V1497" s="461">
        <v>0</v>
      </c>
    </row>
    <row r="1498" spans="1:22" s="455" customFormat="1" hidden="1">
      <c r="A1498" s="455" t="str">
        <f t="shared" si="46"/>
        <v>19455011010211</v>
      </c>
      <c r="B1498" s="455" t="str">
        <f>VLOOKUP(LEFT($C$3:$C$2600,3),Table!$D$2:$E$88,2,FALSE)</f>
        <v>3rd Party Contracted Metal</v>
      </c>
      <c r="C1498" s="455" t="str">
        <f t="shared" si="47"/>
        <v>5011010211</v>
      </c>
      <c r="D1498" s="455" t="e">
        <f>VLOOKUP(G1498,Table!$G$3:$H$21,2,FALSE)</f>
        <v>#N/A</v>
      </c>
      <c r="E1498" s="452" t="s">
        <v>902</v>
      </c>
      <c r="F1498" s="452" t="s">
        <v>1940</v>
      </c>
      <c r="G1498" s="452" t="s">
        <v>1781</v>
      </c>
      <c r="H1498" s="452" t="s">
        <v>1782</v>
      </c>
      <c r="I1498" s="453" t="s">
        <v>844</v>
      </c>
      <c r="J1498" s="453">
        <v>144756.64000000001</v>
      </c>
      <c r="K1498" s="461">
        <v>38594.230000000003</v>
      </c>
      <c r="L1498" s="461">
        <v>67395.34</v>
      </c>
      <c r="M1498" s="461">
        <v>38767.07</v>
      </c>
      <c r="N1498" s="461">
        <v>0</v>
      </c>
      <c r="O1498" s="461">
        <v>0</v>
      </c>
      <c r="P1498" s="461">
        <v>0</v>
      </c>
      <c r="Q1498" s="461">
        <v>0</v>
      </c>
      <c r="R1498" s="461">
        <v>0</v>
      </c>
      <c r="S1498" s="461">
        <v>0</v>
      </c>
      <c r="T1498" s="461">
        <v>0</v>
      </c>
      <c r="U1498" s="461">
        <v>0</v>
      </c>
      <c r="V1498" s="461">
        <v>0</v>
      </c>
    </row>
    <row r="1499" spans="1:22" s="455" customFormat="1" hidden="1">
      <c r="A1499" s="455" t="str">
        <f t="shared" si="46"/>
        <v>19455011510520</v>
      </c>
      <c r="B1499" s="455" t="str">
        <f>VLOOKUP(LEFT($C$3:$C$2600,3),Table!$D$2:$E$88,2,FALSE)</f>
        <v>3rd Party Contracted Metal</v>
      </c>
      <c r="C1499" s="455" t="str">
        <f t="shared" si="47"/>
        <v>5011510520</v>
      </c>
      <c r="D1499" s="455" t="e">
        <f>VLOOKUP(G1499,Table!$G$3:$H$21,2,FALSE)</f>
        <v>#N/A</v>
      </c>
      <c r="E1499" s="452" t="s">
        <v>902</v>
      </c>
      <c r="F1499" s="452" t="s">
        <v>1940</v>
      </c>
      <c r="G1499" s="452" t="s">
        <v>1793</v>
      </c>
      <c r="H1499" s="452" t="s">
        <v>1794</v>
      </c>
      <c r="I1499" s="453" t="s">
        <v>844</v>
      </c>
      <c r="J1499" s="453">
        <v>347050.11</v>
      </c>
      <c r="K1499" s="461">
        <v>111038.3</v>
      </c>
      <c r="L1499" s="461">
        <v>76393.08</v>
      </c>
      <c r="M1499" s="461">
        <v>159618.73000000001</v>
      </c>
      <c r="N1499" s="461">
        <v>0</v>
      </c>
      <c r="O1499" s="461">
        <v>0</v>
      </c>
      <c r="P1499" s="461">
        <v>0</v>
      </c>
      <c r="Q1499" s="461">
        <v>0</v>
      </c>
      <c r="R1499" s="461">
        <v>0</v>
      </c>
      <c r="S1499" s="461">
        <v>0</v>
      </c>
      <c r="T1499" s="461">
        <v>0</v>
      </c>
      <c r="U1499" s="461">
        <v>0</v>
      </c>
      <c r="V1499" s="461">
        <v>0</v>
      </c>
    </row>
    <row r="1500" spans="1:22" s="455" customFormat="1" hidden="1">
      <c r="A1500" s="455" t="str">
        <f t="shared" si="46"/>
        <v>19455021010211</v>
      </c>
      <c r="B1500" s="455" t="str">
        <f>VLOOKUP(LEFT($C$3:$C$2600,3),Table!$D$2:$E$88,2,FALSE)</f>
        <v>3rd Party Contracted Metal</v>
      </c>
      <c r="C1500" s="455" t="str">
        <f t="shared" si="47"/>
        <v>5021010211</v>
      </c>
      <c r="D1500" s="455" t="e">
        <f>VLOOKUP(G1500,Table!$G$3:$H$21,2,FALSE)</f>
        <v>#N/A</v>
      </c>
      <c r="E1500" s="452" t="s">
        <v>902</v>
      </c>
      <c r="F1500" s="452" t="s">
        <v>1940</v>
      </c>
      <c r="G1500" s="452" t="s">
        <v>2582</v>
      </c>
      <c r="H1500" s="452" t="s">
        <v>2583</v>
      </c>
      <c r="I1500" s="453" t="s">
        <v>844</v>
      </c>
      <c r="J1500" s="453">
        <v>74.77</v>
      </c>
      <c r="K1500" s="461">
        <v>0</v>
      </c>
      <c r="L1500" s="461">
        <v>0</v>
      </c>
      <c r="M1500" s="461">
        <v>74.77</v>
      </c>
      <c r="N1500" s="461">
        <v>0</v>
      </c>
      <c r="O1500" s="461">
        <v>0</v>
      </c>
      <c r="P1500" s="461">
        <v>0</v>
      </c>
      <c r="Q1500" s="461">
        <v>0</v>
      </c>
      <c r="R1500" s="461">
        <v>0</v>
      </c>
      <c r="S1500" s="461">
        <v>0</v>
      </c>
      <c r="T1500" s="461">
        <v>0</v>
      </c>
      <c r="U1500" s="461">
        <v>0</v>
      </c>
      <c r="V1500" s="461">
        <v>0</v>
      </c>
    </row>
    <row r="1501" spans="1:22" s="455" customFormat="1" hidden="1">
      <c r="A1501" s="455" t="str">
        <f t="shared" si="46"/>
        <v>19455021510520</v>
      </c>
      <c r="B1501" s="455" t="str">
        <f>VLOOKUP(LEFT($C$3:$C$2600,3),Table!$D$2:$E$88,2,FALSE)</f>
        <v>3rd Party Contracted Metal</v>
      </c>
      <c r="C1501" s="455" t="str">
        <f t="shared" si="47"/>
        <v>5021510520</v>
      </c>
      <c r="D1501" s="455" t="e">
        <f>VLOOKUP(G1501,Table!$G$3:$H$21,2,FALSE)</f>
        <v>#N/A</v>
      </c>
      <c r="E1501" s="452" t="s">
        <v>902</v>
      </c>
      <c r="F1501" s="452" t="s">
        <v>1940</v>
      </c>
      <c r="G1501" s="452" t="s">
        <v>1808</v>
      </c>
      <c r="H1501" s="452" t="s">
        <v>1809</v>
      </c>
      <c r="I1501" s="453" t="s">
        <v>844</v>
      </c>
      <c r="J1501" s="453">
        <v>540.32000000000005</v>
      </c>
      <c r="K1501" s="461">
        <v>204.46</v>
      </c>
      <c r="L1501" s="461">
        <v>113.8</v>
      </c>
      <c r="M1501" s="461">
        <v>222.06</v>
      </c>
      <c r="N1501" s="461">
        <v>0</v>
      </c>
      <c r="O1501" s="461">
        <v>0</v>
      </c>
      <c r="P1501" s="461">
        <v>0</v>
      </c>
      <c r="Q1501" s="461">
        <v>0</v>
      </c>
      <c r="R1501" s="461">
        <v>0</v>
      </c>
      <c r="S1501" s="461">
        <v>0</v>
      </c>
      <c r="T1501" s="461">
        <v>0</v>
      </c>
      <c r="U1501" s="461">
        <v>0</v>
      </c>
      <c r="V1501" s="461">
        <v>0</v>
      </c>
    </row>
    <row r="1502" spans="1:22" s="455" customFormat="1" hidden="1">
      <c r="A1502" s="455" t="str">
        <f t="shared" si="46"/>
        <v>19455031010211</v>
      </c>
      <c r="B1502" s="455" t="str">
        <f>VLOOKUP(LEFT($C$3:$C$2600,3),Table!$D$2:$E$88,2,FALSE)</f>
        <v>Melt Loss</v>
      </c>
      <c r="C1502" s="455" t="str">
        <f t="shared" si="47"/>
        <v>5031010211</v>
      </c>
      <c r="D1502" s="455" t="e">
        <f>VLOOKUP(G1502,Table!$G$3:$H$21,2,FALSE)</f>
        <v>#N/A</v>
      </c>
      <c r="E1502" s="452" t="s">
        <v>902</v>
      </c>
      <c r="F1502" s="452" t="s">
        <v>1940</v>
      </c>
      <c r="G1502" s="452" t="s">
        <v>1820</v>
      </c>
      <c r="H1502" s="452" t="s">
        <v>1821</v>
      </c>
      <c r="I1502" s="453" t="s">
        <v>844</v>
      </c>
      <c r="J1502" s="453">
        <v>5322.1</v>
      </c>
      <c r="K1502" s="461">
        <v>1089.8399999999999</v>
      </c>
      <c r="L1502" s="461">
        <v>3070.78</v>
      </c>
      <c r="M1502" s="461">
        <v>1161.48</v>
      </c>
      <c r="N1502" s="461">
        <v>0</v>
      </c>
      <c r="O1502" s="461">
        <v>0</v>
      </c>
      <c r="P1502" s="461">
        <v>0</v>
      </c>
      <c r="Q1502" s="461">
        <v>0</v>
      </c>
      <c r="R1502" s="461">
        <v>0</v>
      </c>
      <c r="S1502" s="461">
        <v>0</v>
      </c>
      <c r="T1502" s="461">
        <v>0</v>
      </c>
      <c r="U1502" s="461">
        <v>0</v>
      </c>
      <c r="V1502" s="461">
        <v>0</v>
      </c>
    </row>
    <row r="1503" spans="1:22" s="455" customFormat="1" hidden="1">
      <c r="A1503" s="455" t="str">
        <f t="shared" si="46"/>
        <v>19455031510520</v>
      </c>
      <c r="B1503" s="455" t="str">
        <f>VLOOKUP(LEFT($C$3:$C$2600,3),Table!$D$2:$E$88,2,FALSE)</f>
        <v>Melt Loss</v>
      </c>
      <c r="C1503" s="455" t="str">
        <f t="shared" si="47"/>
        <v>5031510520</v>
      </c>
      <c r="D1503" s="455" t="e">
        <f>VLOOKUP(G1503,Table!$G$3:$H$21,2,FALSE)</f>
        <v>#N/A</v>
      </c>
      <c r="E1503" s="452" t="s">
        <v>902</v>
      </c>
      <c r="F1503" s="452" t="s">
        <v>1940</v>
      </c>
      <c r="G1503" s="452" t="s">
        <v>1832</v>
      </c>
      <c r="H1503" s="452" t="s">
        <v>1833</v>
      </c>
      <c r="I1503" s="453" t="s">
        <v>844</v>
      </c>
      <c r="J1503" s="453">
        <v>11398.53</v>
      </c>
      <c r="K1503" s="461">
        <v>3135.54</v>
      </c>
      <c r="L1503" s="461">
        <v>3480.78</v>
      </c>
      <c r="M1503" s="461">
        <v>4782.21</v>
      </c>
      <c r="N1503" s="461">
        <v>0</v>
      </c>
      <c r="O1503" s="461">
        <v>0</v>
      </c>
      <c r="P1503" s="461">
        <v>0</v>
      </c>
      <c r="Q1503" s="461">
        <v>0</v>
      </c>
      <c r="R1503" s="461">
        <v>0</v>
      </c>
      <c r="S1503" s="461">
        <v>0</v>
      </c>
      <c r="T1503" s="461">
        <v>0</v>
      </c>
      <c r="U1503" s="461">
        <v>0</v>
      </c>
      <c r="V1503" s="461">
        <v>0</v>
      </c>
    </row>
    <row r="1504" spans="1:22" s="455" customFormat="1" hidden="1">
      <c r="A1504" s="455" t="str">
        <f t="shared" si="46"/>
        <v>19455041010211</v>
      </c>
      <c r="B1504" s="455" t="str">
        <f>VLOOKUP(LEFT($C$3:$C$2600,3),Table!$D$2:$E$88,2,FALSE)</f>
        <v>3rd Party Contracted Metal</v>
      </c>
      <c r="C1504" s="455" t="str">
        <f t="shared" si="47"/>
        <v>5041010211</v>
      </c>
      <c r="D1504" s="455" t="e">
        <f>VLOOKUP(G1504,Table!$G$3:$H$21,2,FALSE)</f>
        <v>#N/A</v>
      </c>
      <c r="E1504" s="452" t="s">
        <v>902</v>
      </c>
      <c r="F1504" s="452" t="s">
        <v>1940</v>
      </c>
      <c r="G1504" s="452" t="s">
        <v>1841</v>
      </c>
      <c r="H1504" s="452" t="s">
        <v>1842</v>
      </c>
      <c r="I1504" s="453" t="s">
        <v>844</v>
      </c>
      <c r="J1504" s="453">
        <v>-6326.46</v>
      </c>
      <c r="K1504" s="461">
        <v>-1959.02</v>
      </c>
      <c r="L1504" s="461">
        <v>-2878.82</v>
      </c>
      <c r="M1504" s="461">
        <v>-1488.62</v>
      </c>
      <c r="N1504" s="461">
        <v>0</v>
      </c>
      <c r="O1504" s="461">
        <v>0</v>
      </c>
      <c r="P1504" s="461">
        <v>0</v>
      </c>
      <c r="Q1504" s="461">
        <v>0</v>
      </c>
      <c r="R1504" s="461">
        <v>0</v>
      </c>
      <c r="S1504" s="461">
        <v>0</v>
      </c>
      <c r="T1504" s="461">
        <v>0</v>
      </c>
      <c r="U1504" s="461">
        <v>0</v>
      </c>
      <c r="V1504" s="461">
        <v>0</v>
      </c>
    </row>
    <row r="1505" spans="1:22" s="455" customFormat="1" hidden="1">
      <c r="A1505" s="455" t="str">
        <f t="shared" si="46"/>
        <v>19455041510520</v>
      </c>
      <c r="B1505" s="455" t="str">
        <f>VLOOKUP(LEFT($C$3:$C$2600,3),Table!$D$2:$E$88,2,FALSE)</f>
        <v>3rd Party Contracted Metal</v>
      </c>
      <c r="C1505" s="455" t="str">
        <f t="shared" si="47"/>
        <v>5041510520</v>
      </c>
      <c r="D1505" s="455" t="e">
        <f>VLOOKUP(G1505,Table!$G$3:$H$21,2,FALSE)</f>
        <v>#N/A</v>
      </c>
      <c r="E1505" s="452" t="s">
        <v>902</v>
      </c>
      <c r="F1505" s="452" t="s">
        <v>1940</v>
      </c>
      <c r="G1505" s="452" t="s">
        <v>1853</v>
      </c>
      <c r="H1505" s="452" t="s">
        <v>1854</v>
      </c>
      <c r="I1505" s="453" t="s">
        <v>844</v>
      </c>
      <c r="J1505" s="453">
        <v>-15028.61</v>
      </c>
      <c r="K1505" s="461">
        <v>-5636.17</v>
      </c>
      <c r="L1505" s="461">
        <v>-3263.17</v>
      </c>
      <c r="M1505" s="461">
        <v>-6129.27</v>
      </c>
      <c r="N1505" s="461">
        <v>0</v>
      </c>
      <c r="O1505" s="461">
        <v>0</v>
      </c>
      <c r="P1505" s="461">
        <v>0</v>
      </c>
      <c r="Q1505" s="461">
        <v>0</v>
      </c>
      <c r="R1505" s="461">
        <v>0</v>
      </c>
      <c r="S1505" s="461">
        <v>0</v>
      </c>
      <c r="T1505" s="461">
        <v>0</v>
      </c>
      <c r="U1505" s="461">
        <v>0</v>
      </c>
      <c r="V1505" s="461">
        <v>0</v>
      </c>
    </row>
    <row r="1506" spans="1:22" s="455" customFormat="1" hidden="1">
      <c r="A1506" s="455" t="str">
        <f t="shared" si="46"/>
        <v>19455051010211</v>
      </c>
      <c r="B1506" s="455" t="str">
        <f>VLOOKUP(LEFT($C$3:$C$2600,3),Table!$D$2:$E$88,2,FALSE)</f>
        <v>Dross Savings</v>
      </c>
      <c r="C1506" s="455" t="str">
        <f t="shared" si="47"/>
        <v>5051010211</v>
      </c>
      <c r="D1506" s="455" t="e">
        <f>VLOOKUP(G1506,Table!$G$3:$H$21,2,FALSE)</f>
        <v>#N/A</v>
      </c>
      <c r="E1506" s="452" t="s">
        <v>902</v>
      </c>
      <c r="F1506" s="452" t="s">
        <v>1940</v>
      </c>
      <c r="G1506" s="452" t="s">
        <v>1862</v>
      </c>
      <c r="H1506" s="452" t="s">
        <v>1863</v>
      </c>
      <c r="I1506" s="453" t="s">
        <v>844</v>
      </c>
      <c r="J1506" s="453">
        <v>-1796.14</v>
      </c>
      <c r="K1506" s="461">
        <v>-560.54</v>
      </c>
      <c r="L1506" s="461">
        <v>-618.22</v>
      </c>
      <c r="M1506" s="461">
        <v>-617.38</v>
      </c>
      <c r="N1506" s="461">
        <v>0</v>
      </c>
      <c r="O1506" s="461">
        <v>0</v>
      </c>
      <c r="P1506" s="461">
        <v>0</v>
      </c>
      <c r="Q1506" s="461">
        <v>0</v>
      </c>
      <c r="R1506" s="461">
        <v>0</v>
      </c>
      <c r="S1506" s="461">
        <v>0</v>
      </c>
      <c r="T1506" s="461">
        <v>0</v>
      </c>
      <c r="U1506" s="461">
        <v>0</v>
      </c>
      <c r="V1506" s="461">
        <v>0</v>
      </c>
    </row>
    <row r="1507" spans="1:22" s="455" customFormat="1" hidden="1">
      <c r="A1507" s="455" t="str">
        <f t="shared" si="46"/>
        <v>19455051510520</v>
      </c>
      <c r="B1507" s="455" t="str">
        <f>VLOOKUP(LEFT($C$3:$C$2600,3),Table!$D$2:$E$88,2,FALSE)</f>
        <v>Dross Savings</v>
      </c>
      <c r="C1507" s="455" t="str">
        <f t="shared" si="47"/>
        <v>5051510520</v>
      </c>
      <c r="D1507" s="455" t="e">
        <f>VLOOKUP(G1507,Table!$G$3:$H$21,2,FALSE)</f>
        <v>#N/A</v>
      </c>
      <c r="E1507" s="452" t="s">
        <v>902</v>
      </c>
      <c r="F1507" s="452" t="s">
        <v>1940</v>
      </c>
      <c r="G1507" s="452" t="s">
        <v>1874</v>
      </c>
      <c r="H1507" s="452" t="s">
        <v>1875</v>
      </c>
      <c r="I1507" s="453" t="s">
        <v>844</v>
      </c>
      <c r="J1507" s="453">
        <v>-4855.6000000000004</v>
      </c>
      <c r="K1507" s="461">
        <v>-1612.75</v>
      </c>
      <c r="L1507" s="461">
        <v>-700.79</v>
      </c>
      <c r="M1507" s="461">
        <v>-2542.06</v>
      </c>
      <c r="N1507" s="461">
        <v>0</v>
      </c>
      <c r="O1507" s="461">
        <v>0</v>
      </c>
      <c r="P1507" s="461">
        <v>0</v>
      </c>
      <c r="Q1507" s="461">
        <v>0</v>
      </c>
      <c r="R1507" s="461">
        <v>0</v>
      </c>
      <c r="S1507" s="461">
        <v>0</v>
      </c>
      <c r="T1507" s="461">
        <v>0</v>
      </c>
      <c r="U1507" s="461">
        <v>0</v>
      </c>
      <c r="V1507" s="461">
        <v>0</v>
      </c>
    </row>
    <row r="1508" spans="1:22" s="455" customFormat="1" hidden="1">
      <c r="A1508" s="455" t="str">
        <f t="shared" si="46"/>
        <v>19455111010211</v>
      </c>
      <c r="B1508" s="455" t="str">
        <f>VLOOKUP(LEFT($C$3:$C$2600,3),Table!$D$2:$E$88,2,FALSE)</f>
        <v>Direct cost</v>
      </c>
      <c r="C1508" s="455" t="str">
        <f t="shared" si="47"/>
        <v>5111010211</v>
      </c>
      <c r="D1508" s="455" t="e">
        <f>VLOOKUP(G1508,Table!$G$3:$H$21,2,FALSE)</f>
        <v>#N/A</v>
      </c>
      <c r="E1508" s="452" t="s">
        <v>902</v>
      </c>
      <c r="F1508" s="452" t="s">
        <v>1940</v>
      </c>
      <c r="G1508" s="452" t="s">
        <v>1883</v>
      </c>
      <c r="H1508" s="452" t="s">
        <v>1884</v>
      </c>
      <c r="I1508" s="453" t="s">
        <v>844</v>
      </c>
      <c r="J1508" s="453">
        <v>19591.14</v>
      </c>
      <c r="K1508" s="461">
        <v>4667.3</v>
      </c>
      <c r="L1508" s="461">
        <v>9190.42</v>
      </c>
      <c r="M1508" s="461">
        <v>5733.42</v>
      </c>
      <c r="N1508" s="461">
        <v>0</v>
      </c>
      <c r="O1508" s="461">
        <v>0</v>
      </c>
      <c r="P1508" s="461">
        <v>0</v>
      </c>
      <c r="Q1508" s="461">
        <v>0</v>
      </c>
      <c r="R1508" s="461">
        <v>0</v>
      </c>
      <c r="S1508" s="461">
        <v>0</v>
      </c>
      <c r="T1508" s="461">
        <v>0</v>
      </c>
      <c r="U1508" s="461">
        <v>0</v>
      </c>
      <c r="V1508" s="461">
        <v>0</v>
      </c>
    </row>
    <row r="1509" spans="1:22" s="455" customFormat="1" hidden="1">
      <c r="A1509" s="455" t="str">
        <f t="shared" si="46"/>
        <v>19455111510520</v>
      </c>
      <c r="B1509" s="455" t="str">
        <f>VLOOKUP(LEFT($C$3:$C$2600,3),Table!$D$2:$E$88,2,FALSE)</f>
        <v>Direct cost</v>
      </c>
      <c r="C1509" s="455" t="str">
        <f t="shared" si="47"/>
        <v>5111510520</v>
      </c>
      <c r="D1509" s="455" t="e">
        <f>VLOOKUP(G1509,Table!$G$3:$H$21,2,FALSE)</f>
        <v>#N/A</v>
      </c>
      <c r="E1509" s="452" t="s">
        <v>902</v>
      </c>
      <c r="F1509" s="452" t="s">
        <v>1940</v>
      </c>
      <c r="G1509" s="452" t="s">
        <v>1895</v>
      </c>
      <c r="H1509" s="452" t="s">
        <v>1896</v>
      </c>
      <c r="I1509" s="453" t="s">
        <v>844</v>
      </c>
      <c r="J1509" s="453">
        <v>58204.83</v>
      </c>
      <c r="K1509" s="461">
        <v>17772.88</v>
      </c>
      <c r="L1509" s="461">
        <v>13707.78</v>
      </c>
      <c r="M1509" s="461">
        <v>26724.17</v>
      </c>
      <c r="N1509" s="461">
        <v>0</v>
      </c>
      <c r="O1509" s="461">
        <v>0</v>
      </c>
      <c r="P1509" s="461">
        <v>0</v>
      </c>
      <c r="Q1509" s="461">
        <v>0</v>
      </c>
      <c r="R1509" s="461">
        <v>0</v>
      </c>
      <c r="S1509" s="461">
        <v>0</v>
      </c>
      <c r="T1509" s="461">
        <v>0</v>
      </c>
      <c r="U1509" s="461">
        <v>0</v>
      </c>
      <c r="V1509" s="461">
        <v>0</v>
      </c>
    </row>
    <row r="1510" spans="1:22" s="455" customFormat="1" hidden="1">
      <c r="A1510" s="455" t="str">
        <f t="shared" si="46"/>
        <v>19455121010211</v>
      </c>
      <c r="B1510" s="455" t="str">
        <f>VLOOKUP(LEFT($C$3:$C$2600,3),Table!$D$2:$E$88,2,FALSE)</f>
        <v>Period cost</v>
      </c>
      <c r="C1510" s="455" t="str">
        <f t="shared" si="47"/>
        <v>5121010211</v>
      </c>
      <c r="D1510" s="455" t="e">
        <f>VLOOKUP(G1510,Table!$G$3:$H$21,2,FALSE)</f>
        <v>#N/A</v>
      </c>
      <c r="E1510" s="452" t="s">
        <v>902</v>
      </c>
      <c r="F1510" s="452" t="s">
        <v>1940</v>
      </c>
      <c r="G1510" s="452" t="s">
        <v>1912</v>
      </c>
      <c r="H1510" s="452" t="s">
        <v>1913</v>
      </c>
      <c r="I1510" s="453" t="s">
        <v>844</v>
      </c>
      <c r="J1510" s="453">
        <v>20679.29</v>
      </c>
      <c r="K1510" s="461">
        <v>5175.07</v>
      </c>
      <c r="L1510" s="461">
        <v>9022.7000000000007</v>
      </c>
      <c r="M1510" s="461">
        <v>6481.52</v>
      </c>
      <c r="N1510" s="461">
        <v>0</v>
      </c>
      <c r="O1510" s="461">
        <v>0</v>
      </c>
      <c r="P1510" s="461">
        <v>0</v>
      </c>
      <c r="Q1510" s="461">
        <v>0</v>
      </c>
      <c r="R1510" s="461">
        <v>0</v>
      </c>
      <c r="S1510" s="461">
        <v>0</v>
      </c>
      <c r="T1510" s="461">
        <v>0</v>
      </c>
      <c r="U1510" s="461">
        <v>0</v>
      </c>
      <c r="V1510" s="461">
        <v>0</v>
      </c>
    </row>
    <row r="1511" spans="1:22" s="455" customFormat="1" hidden="1">
      <c r="A1511" s="455" t="str">
        <f t="shared" si="46"/>
        <v>19455121510520</v>
      </c>
      <c r="B1511" s="455" t="str">
        <f>VLOOKUP(LEFT($C$3:$C$2600,3),Table!$D$2:$E$88,2,FALSE)</f>
        <v>Period cost</v>
      </c>
      <c r="C1511" s="455" t="str">
        <f t="shared" si="47"/>
        <v>5121510520</v>
      </c>
      <c r="D1511" s="455" t="e">
        <f>VLOOKUP(G1511,Table!$G$3:$H$21,2,FALSE)</f>
        <v>#N/A</v>
      </c>
      <c r="E1511" s="452" t="s">
        <v>902</v>
      </c>
      <c r="F1511" s="452" t="s">
        <v>1940</v>
      </c>
      <c r="G1511" s="452" t="s">
        <v>1924</v>
      </c>
      <c r="H1511" s="452" t="s">
        <v>1925</v>
      </c>
      <c r="I1511" s="453" t="s">
        <v>844</v>
      </c>
      <c r="J1511" s="453">
        <v>40680.35</v>
      </c>
      <c r="K1511" s="461">
        <v>11756.38</v>
      </c>
      <c r="L1511" s="461">
        <v>9355.6299999999992</v>
      </c>
      <c r="M1511" s="461">
        <v>19568.34</v>
      </c>
      <c r="N1511" s="461">
        <v>0</v>
      </c>
      <c r="O1511" s="461">
        <v>0</v>
      </c>
      <c r="P1511" s="461">
        <v>0</v>
      </c>
      <c r="Q1511" s="461">
        <v>0</v>
      </c>
      <c r="R1511" s="461">
        <v>0</v>
      </c>
      <c r="S1511" s="461">
        <v>0</v>
      </c>
      <c r="T1511" s="461">
        <v>0</v>
      </c>
      <c r="U1511" s="461">
        <v>0</v>
      </c>
      <c r="V1511" s="461">
        <v>0</v>
      </c>
    </row>
    <row r="1512" spans="1:22" s="455" customFormat="1" hidden="1">
      <c r="A1512" s="455" t="str">
        <f t="shared" si="46"/>
        <v>19504001030011</v>
      </c>
      <c r="B1512" s="455" t="str">
        <f>VLOOKUP(LEFT($C$3:$C$2600,3),Table!$D$2:$E$88,2,FALSE)</f>
        <v>3rd Party Revenue</v>
      </c>
      <c r="C1512" s="455" t="str">
        <f t="shared" si="47"/>
        <v>4001030011</v>
      </c>
      <c r="D1512" s="455" t="e">
        <f>VLOOKUP(G1512,Table!$G$3:$H$21,2,FALSE)</f>
        <v>#N/A</v>
      </c>
      <c r="E1512" s="452" t="s">
        <v>902</v>
      </c>
      <c r="F1512" s="452" t="s">
        <v>1941</v>
      </c>
      <c r="G1512" s="452" t="s">
        <v>1662</v>
      </c>
      <c r="H1512" s="452" t="s">
        <v>1663</v>
      </c>
      <c r="I1512" s="453" t="s">
        <v>844</v>
      </c>
      <c r="J1512" s="453">
        <v>-2269709.42</v>
      </c>
      <c r="K1512" s="461">
        <v>-540950.24</v>
      </c>
      <c r="L1512" s="461">
        <v>-285617.62</v>
      </c>
      <c r="M1512" s="461">
        <v>-720946.8</v>
      </c>
      <c r="N1512" s="461">
        <v>0</v>
      </c>
      <c r="O1512" s="461">
        <v>0</v>
      </c>
      <c r="P1512" s="461">
        <v>0</v>
      </c>
      <c r="Q1512" s="461">
        <v>0</v>
      </c>
      <c r="R1512" s="461">
        <v>0</v>
      </c>
      <c r="S1512" s="461">
        <v>0</v>
      </c>
      <c r="T1512" s="461">
        <v>0</v>
      </c>
      <c r="U1512" s="461">
        <v>0</v>
      </c>
      <c r="V1512" s="461">
        <v>0</v>
      </c>
    </row>
    <row r="1513" spans="1:22" s="455" customFormat="1" hidden="1">
      <c r="A1513" s="455" t="str">
        <f t="shared" si="46"/>
        <v>19504001030111</v>
      </c>
      <c r="B1513" s="455" t="str">
        <f>VLOOKUP(LEFT($C$3:$C$2600,3),Table!$D$2:$E$88,2,FALSE)</f>
        <v>3rd Party Revenue</v>
      </c>
      <c r="C1513" s="455" t="str">
        <f t="shared" si="47"/>
        <v>4001030111</v>
      </c>
      <c r="D1513" s="455" t="e">
        <f>VLOOKUP(G1513,Table!$G$3:$H$21,2,FALSE)</f>
        <v>#N/A</v>
      </c>
      <c r="E1513" s="452" t="s">
        <v>902</v>
      </c>
      <c r="F1513" s="452" t="s">
        <v>1941</v>
      </c>
      <c r="G1513" s="452" t="s">
        <v>1664</v>
      </c>
      <c r="H1513" s="452" t="s">
        <v>1665</v>
      </c>
      <c r="I1513" s="453" t="s">
        <v>844</v>
      </c>
      <c r="J1513" s="453">
        <v>-1789562.82</v>
      </c>
      <c r="K1513" s="461">
        <v>-616932</v>
      </c>
      <c r="L1513" s="461">
        <v>-373236</v>
      </c>
      <c r="M1513" s="461">
        <v>-513069.77</v>
      </c>
      <c r="N1513" s="461">
        <v>0</v>
      </c>
      <c r="O1513" s="461">
        <v>0</v>
      </c>
      <c r="P1513" s="461">
        <v>0</v>
      </c>
      <c r="Q1513" s="461">
        <v>0</v>
      </c>
      <c r="R1513" s="461">
        <v>0</v>
      </c>
      <c r="S1513" s="461">
        <v>0</v>
      </c>
      <c r="T1513" s="461">
        <v>0</v>
      </c>
      <c r="U1513" s="461">
        <v>0</v>
      </c>
      <c r="V1513" s="461">
        <v>0</v>
      </c>
    </row>
    <row r="1514" spans="1:22" s="455" customFormat="1" hidden="1">
      <c r="A1514" s="455" t="str">
        <f t="shared" si="46"/>
        <v>19504001510311</v>
      </c>
      <c r="B1514" s="455" t="str">
        <f>VLOOKUP(LEFT($C$3:$C$2600,3),Table!$D$2:$E$88,2,FALSE)</f>
        <v>Interco Revenue</v>
      </c>
      <c r="C1514" s="455">
        <f t="shared" si="47"/>
        <v>413</v>
      </c>
      <c r="D1514" s="455">
        <f>VLOOKUP(G1514,Table!$G$3:$H$21,2,FALSE)</f>
        <v>413</v>
      </c>
      <c r="E1514" s="452" t="s">
        <v>902</v>
      </c>
      <c r="F1514" s="452" t="s">
        <v>1941</v>
      </c>
      <c r="G1514" s="452" t="s">
        <v>1942</v>
      </c>
      <c r="H1514" s="452" t="s">
        <v>1943</v>
      </c>
      <c r="I1514" s="453" t="s">
        <v>844</v>
      </c>
      <c r="J1514" s="453">
        <v>-42357379.390000001</v>
      </c>
      <c r="K1514" s="461">
        <v>-12378652.42</v>
      </c>
      <c r="L1514" s="461">
        <v>-11323414.810000001</v>
      </c>
      <c r="M1514" s="461">
        <v>-12410856.380000001</v>
      </c>
      <c r="N1514" s="461">
        <v>0</v>
      </c>
      <c r="O1514" s="461">
        <v>0</v>
      </c>
      <c r="P1514" s="461">
        <v>0</v>
      </c>
      <c r="Q1514" s="461">
        <v>0</v>
      </c>
      <c r="R1514" s="461">
        <v>0</v>
      </c>
      <c r="S1514" s="461">
        <v>0</v>
      </c>
      <c r="T1514" s="461">
        <v>0</v>
      </c>
      <c r="U1514" s="461">
        <v>0</v>
      </c>
      <c r="V1514" s="461">
        <v>0</v>
      </c>
    </row>
    <row r="1515" spans="1:22" s="455" customFormat="1" hidden="1">
      <c r="A1515" s="455" t="str">
        <f t="shared" si="46"/>
        <v>19504001510520</v>
      </c>
      <c r="B1515" s="455" t="str">
        <f>VLOOKUP(LEFT($C$3:$C$2600,3),Table!$D$2:$E$88,2,FALSE)</f>
        <v>3rd Party Revenue</v>
      </c>
      <c r="C1515" s="455" t="str">
        <f t="shared" si="47"/>
        <v>4001510520</v>
      </c>
      <c r="D1515" s="455" t="e">
        <f>VLOOKUP(G1515,Table!$G$3:$H$21,2,FALSE)</f>
        <v>#N/A</v>
      </c>
      <c r="E1515" s="452" t="s">
        <v>902</v>
      </c>
      <c r="F1515" s="452" t="s">
        <v>1941</v>
      </c>
      <c r="G1515" s="452" t="s">
        <v>1674</v>
      </c>
      <c r="H1515" s="452" t="s">
        <v>1675</v>
      </c>
      <c r="I1515" s="453" t="s">
        <v>844</v>
      </c>
      <c r="J1515" s="453">
        <v>-745339.2</v>
      </c>
      <c r="K1515" s="461">
        <v>-214530.97</v>
      </c>
      <c r="L1515" s="461">
        <v>-206312.33</v>
      </c>
      <c r="M1515" s="461">
        <v>-225210.66</v>
      </c>
      <c r="N1515" s="461">
        <v>0</v>
      </c>
      <c r="O1515" s="461">
        <v>0</v>
      </c>
      <c r="P1515" s="461">
        <v>0</v>
      </c>
      <c r="Q1515" s="461">
        <v>0</v>
      </c>
      <c r="R1515" s="461">
        <v>0</v>
      </c>
      <c r="S1515" s="461">
        <v>0</v>
      </c>
      <c r="T1515" s="461">
        <v>0</v>
      </c>
      <c r="U1515" s="461">
        <v>0</v>
      </c>
      <c r="V1515" s="461">
        <v>0</v>
      </c>
    </row>
    <row r="1516" spans="1:22" s="455" customFormat="1" hidden="1">
      <c r="A1516" s="455" t="str">
        <f t="shared" si="46"/>
        <v>19504001610811</v>
      </c>
      <c r="B1516" s="455" t="str">
        <f>VLOOKUP(LEFT($C$3:$C$2600,3),Table!$D$2:$E$88,2,FALSE)</f>
        <v>3rd Party Revenue</v>
      </c>
      <c r="C1516" s="455" t="str">
        <f t="shared" si="47"/>
        <v>4001610811</v>
      </c>
      <c r="D1516" s="455" t="e">
        <f>VLOOKUP(G1516,Table!$G$3:$H$21,2,FALSE)</f>
        <v>#N/A</v>
      </c>
      <c r="E1516" s="452" t="s">
        <v>902</v>
      </c>
      <c r="F1516" s="452" t="s">
        <v>1941</v>
      </c>
      <c r="G1516" s="452" t="s">
        <v>1683</v>
      </c>
      <c r="H1516" s="452" t="s">
        <v>1684</v>
      </c>
      <c r="I1516" s="453" t="s">
        <v>844</v>
      </c>
      <c r="J1516" s="453">
        <v>-136375.97</v>
      </c>
      <c r="K1516" s="461">
        <v>-121612.3</v>
      </c>
      <c r="L1516" s="461">
        <v>-14763.67</v>
      </c>
      <c r="M1516" s="461">
        <v>0</v>
      </c>
      <c r="N1516" s="461">
        <v>0</v>
      </c>
      <c r="O1516" s="461">
        <v>0</v>
      </c>
      <c r="P1516" s="461">
        <v>0</v>
      </c>
      <c r="Q1516" s="461">
        <v>0</v>
      </c>
      <c r="R1516" s="461">
        <v>0</v>
      </c>
      <c r="S1516" s="461">
        <v>0</v>
      </c>
      <c r="T1516" s="461">
        <v>0</v>
      </c>
      <c r="U1516" s="461">
        <v>0</v>
      </c>
      <c r="V1516" s="461">
        <v>0</v>
      </c>
    </row>
    <row r="1517" spans="1:22" s="455" customFormat="1" hidden="1">
      <c r="A1517" s="455" t="str">
        <f t="shared" si="46"/>
        <v>19504001610911</v>
      </c>
      <c r="B1517" s="455" t="str">
        <f>VLOOKUP(LEFT($C$3:$C$2600,3),Table!$D$2:$E$88,2,FALSE)</f>
        <v>3rd Party Revenue</v>
      </c>
      <c r="C1517" s="455" t="str">
        <f t="shared" si="47"/>
        <v>4001610911</v>
      </c>
      <c r="D1517" s="455" t="e">
        <f>VLOOKUP(G1517,Table!$G$3:$H$21,2,FALSE)</f>
        <v>#N/A</v>
      </c>
      <c r="E1517" s="452" t="s">
        <v>902</v>
      </c>
      <c r="F1517" s="452" t="s">
        <v>1941</v>
      </c>
      <c r="G1517" s="452" t="s">
        <v>1685</v>
      </c>
      <c r="H1517" s="452" t="s">
        <v>1686</v>
      </c>
      <c r="I1517" s="453" t="s">
        <v>844</v>
      </c>
      <c r="J1517" s="453">
        <v>-46215</v>
      </c>
      <c r="K1517" s="461">
        <v>0</v>
      </c>
      <c r="L1517" s="461">
        <v>-22095</v>
      </c>
      <c r="M1517" s="461">
        <v>-24120</v>
      </c>
      <c r="N1517" s="461">
        <v>0</v>
      </c>
      <c r="O1517" s="461">
        <v>0</v>
      </c>
      <c r="P1517" s="461">
        <v>0</v>
      </c>
      <c r="Q1517" s="461">
        <v>0</v>
      </c>
      <c r="R1517" s="461">
        <v>0</v>
      </c>
      <c r="S1517" s="461">
        <v>0</v>
      </c>
      <c r="T1517" s="461">
        <v>0</v>
      </c>
      <c r="U1517" s="461">
        <v>0</v>
      </c>
      <c r="V1517" s="461">
        <v>0</v>
      </c>
    </row>
    <row r="1518" spans="1:22" s="455" customFormat="1" hidden="1">
      <c r="A1518" s="455" t="str">
        <f t="shared" si="46"/>
        <v>19504001611011</v>
      </c>
      <c r="B1518" s="455" t="str">
        <f>VLOOKUP(LEFT($C$3:$C$2600,3),Table!$D$2:$E$88,2,FALSE)</f>
        <v>3rd Party Revenue</v>
      </c>
      <c r="C1518" s="455" t="str">
        <f t="shared" si="47"/>
        <v>4001611011</v>
      </c>
      <c r="D1518" s="455" t="e">
        <f>VLOOKUP(G1518,Table!$G$3:$H$21,2,FALSE)</f>
        <v>#N/A</v>
      </c>
      <c r="E1518" s="452" t="s">
        <v>902</v>
      </c>
      <c r="F1518" s="452" t="s">
        <v>1941</v>
      </c>
      <c r="G1518" s="452" t="s">
        <v>1687</v>
      </c>
      <c r="H1518" s="452" t="s">
        <v>1688</v>
      </c>
      <c r="I1518" s="453" t="s">
        <v>844</v>
      </c>
      <c r="J1518" s="453">
        <v>-77169</v>
      </c>
      <c r="K1518" s="461">
        <v>-77169</v>
      </c>
      <c r="L1518" s="461">
        <v>0</v>
      </c>
      <c r="M1518" s="461">
        <v>0</v>
      </c>
      <c r="N1518" s="461">
        <v>0</v>
      </c>
      <c r="O1518" s="461">
        <v>0</v>
      </c>
      <c r="P1518" s="461">
        <v>0</v>
      </c>
      <c r="Q1518" s="461">
        <v>0</v>
      </c>
      <c r="R1518" s="461">
        <v>0</v>
      </c>
      <c r="S1518" s="461">
        <v>0</v>
      </c>
      <c r="T1518" s="461">
        <v>0</v>
      </c>
      <c r="U1518" s="461">
        <v>0</v>
      </c>
      <c r="V1518" s="461">
        <v>0</v>
      </c>
    </row>
    <row r="1519" spans="1:22" s="455" customFormat="1" hidden="1">
      <c r="A1519" s="455" t="str">
        <f t="shared" si="46"/>
        <v>19504011030011</v>
      </c>
      <c r="B1519" s="455" t="str">
        <f>VLOOKUP(LEFT($C$3:$C$2600,3),Table!$D$2:$E$88,2,FALSE)</f>
        <v>3rd Party Revenue</v>
      </c>
      <c r="C1519" s="455" t="str">
        <f t="shared" si="47"/>
        <v>4011030011</v>
      </c>
      <c r="D1519" s="455" t="e">
        <f>VLOOKUP(G1519,Table!$G$3:$H$21,2,FALSE)</f>
        <v>#N/A</v>
      </c>
      <c r="E1519" s="452" t="s">
        <v>902</v>
      </c>
      <c r="F1519" s="452" t="s">
        <v>1941</v>
      </c>
      <c r="G1519" s="452" t="s">
        <v>1691</v>
      </c>
      <c r="H1519" s="452" t="s">
        <v>1692</v>
      </c>
      <c r="I1519" s="453" t="s">
        <v>844</v>
      </c>
      <c r="J1519" s="453">
        <v>47759.08</v>
      </c>
      <c r="K1519" s="461">
        <v>47759.08</v>
      </c>
      <c r="L1519" s="461">
        <v>0</v>
      </c>
      <c r="M1519" s="461">
        <v>0</v>
      </c>
      <c r="N1519" s="461">
        <v>0</v>
      </c>
      <c r="O1519" s="461">
        <v>0</v>
      </c>
      <c r="P1519" s="461">
        <v>0</v>
      </c>
      <c r="Q1519" s="461">
        <v>0</v>
      </c>
      <c r="R1519" s="461">
        <v>0</v>
      </c>
      <c r="S1519" s="461">
        <v>0</v>
      </c>
      <c r="T1519" s="461">
        <v>0</v>
      </c>
      <c r="U1519" s="461">
        <v>0</v>
      </c>
      <c r="V1519" s="461">
        <v>0</v>
      </c>
    </row>
    <row r="1520" spans="1:22" s="455" customFormat="1" hidden="1">
      <c r="A1520" s="455" t="str">
        <f t="shared" si="46"/>
        <v>19504011510311</v>
      </c>
      <c r="B1520" s="455" t="str">
        <f>VLOOKUP(LEFT($C$3:$C$2600,3),Table!$D$2:$E$88,2,FALSE)</f>
        <v>Interco Revenue</v>
      </c>
      <c r="C1520" s="455">
        <f t="shared" si="47"/>
        <v>413</v>
      </c>
      <c r="D1520" s="455">
        <f>VLOOKUP(G1520,Table!$G$3:$H$21,2,FALSE)</f>
        <v>413</v>
      </c>
      <c r="E1520" s="452" t="s">
        <v>902</v>
      </c>
      <c r="F1520" s="452" t="s">
        <v>1941</v>
      </c>
      <c r="G1520" s="452" t="s">
        <v>1944</v>
      </c>
      <c r="H1520" s="452" t="s">
        <v>1945</v>
      </c>
      <c r="I1520" s="453" t="s">
        <v>844</v>
      </c>
      <c r="J1520" s="453">
        <v>1533013.46</v>
      </c>
      <c r="K1520" s="461">
        <v>190206.23</v>
      </c>
      <c r="L1520" s="461">
        <v>377261.89</v>
      </c>
      <c r="M1520" s="461">
        <v>838093.42</v>
      </c>
      <c r="N1520" s="461">
        <v>0</v>
      </c>
      <c r="O1520" s="461">
        <v>0</v>
      </c>
      <c r="P1520" s="461">
        <v>0</v>
      </c>
      <c r="Q1520" s="461">
        <v>0</v>
      </c>
      <c r="R1520" s="461">
        <v>0</v>
      </c>
      <c r="S1520" s="461">
        <v>0</v>
      </c>
      <c r="T1520" s="461">
        <v>0</v>
      </c>
      <c r="U1520" s="461">
        <v>0</v>
      </c>
      <c r="V1520" s="461">
        <v>0</v>
      </c>
    </row>
    <row r="1521" spans="1:22" s="455" customFormat="1" hidden="1">
      <c r="A1521" s="455" t="str">
        <f t="shared" si="46"/>
        <v>19504011610811</v>
      </c>
      <c r="B1521" s="455" t="str">
        <f>VLOOKUP(LEFT($C$3:$C$2600,3),Table!$D$2:$E$88,2,FALSE)</f>
        <v>3rd Party Revenue</v>
      </c>
      <c r="C1521" s="455" t="str">
        <f t="shared" si="47"/>
        <v>4011610811</v>
      </c>
      <c r="D1521" s="455" t="e">
        <f>VLOOKUP(G1521,Table!$G$3:$H$21,2,FALSE)</f>
        <v>#N/A</v>
      </c>
      <c r="E1521" s="452" t="s">
        <v>902</v>
      </c>
      <c r="F1521" s="452" t="s">
        <v>1941</v>
      </c>
      <c r="G1521" s="452" t="s">
        <v>1946</v>
      </c>
      <c r="H1521" s="452" t="s">
        <v>1947</v>
      </c>
      <c r="I1521" s="453" t="s">
        <v>844</v>
      </c>
      <c r="J1521" s="453">
        <v>23082.67</v>
      </c>
      <c r="K1521" s="461">
        <v>0</v>
      </c>
      <c r="L1521" s="461">
        <v>0</v>
      </c>
      <c r="M1521" s="461">
        <v>23082.67</v>
      </c>
      <c r="N1521" s="461">
        <v>0</v>
      </c>
      <c r="O1521" s="461">
        <v>0</v>
      </c>
      <c r="P1521" s="461">
        <v>0</v>
      </c>
      <c r="Q1521" s="461">
        <v>0</v>
      </c>
      <c r="R1521" s="461">
        <v>0</v>
      </c>
      <c r="S1521" s="461">
        <v>0</v>
      </c>
      <c r="T1521" s="461">
        <v>0</v>
      </c>
      <c r="U1521" s="461">
        <v>0</v>
      </c>
      <c r="V1521" s="461">
        <v>0</v>
      </c>
    </row>
    <row r="1522" spans="1:22" s="455" customFormat="1" hidden="1">
      <c r="A1522" s="455" t="str">
        <f t="shared" si="46"/>
        <v>19504041030011</v>
      </c>
      <c r="B1522" s="455" t="str">
        <f>VLOOKUP(LEFT($C$3:$C$2600,3),Table!$D$2:$E$88,2,FALSE)</f>
        <v>Freight</v>
      </c>
      <c r="C1522" s="455" t="str">
        <f t="shared" si="47"/>
        <v>4041030011</v>
      </c>
      <c r="D1522" s="455" t="e">
        <f>VLOOKUP(G1522,Table!$G$3:$H$21,2,FALSE)</f>
        <v>#N/A</v>
      </c>
      <c r="E1522" s="452" t="s">
        <v>902</v>
      </c>
      <c r="F1522" s="452" t="s">
        <v>1941</v>
      </c>
      <c r="G1522" s="452" t="s">
        <v>1722</v>
      </c>
      <c r="H1522" s="452" t="s">
        <v>1723</v>
      </c>
      <c r="I1522" s="453" t="s">
        <v>844</v>
      </c>
      <c r="J1522" s="453">
        <v>9211.7999999999993</v>
      </c>
      <c r="K1522" s="461">
        <v>3279</v>
      </c>
      <c r="L1522" s="461">
        <v>1717.2</v>
      </c>
      <c r="M1522" s="461">
        <v>4215.6000000000004</v>
      </c>
      <c r="N1522" s="461">
        <v>0</v>
      </c>
      <c r="O1522" s="461">
        <v>0</v>
      </c>
      <c r="P1522" s="461">
        <v>0</v>
      </c>
      <c r="Q1522" s="461">
        <v>0</v>
      </c>
      <c r="R1522" s="461">
        <v>0</v>
      </c>
      <c r="S1522" s="461">
        <v>0</v>
      </c>
      <c r="T1522" s="461">
        <v>0</v>
      </c>
      <c r="U1522" s="461">
        <v>0</v>
      </c>
      <c r="V1522" s="461">
        <v>0</v>
      </c>
    </row>
    <row r="1523" spans="1:22" s="455" customFormat="1" hidden="1">
      <c r="A1523" s="455" t="str">
        <f t="shared" si="46"/>
        <v>19504041030111</v>
      </c>
      <c r="B1523" s="455" t="str">
        <f>VLOOKUP(LEFT($C$3:$C$2600,3),Table!$D$2:$E$88,2,FALSE)</f>
        <v>Freight</v>
      </c>
      <c r="C1523" s="455" t="str">
        <f t="shared" si="47"/>
        <v>4041030111</v>
      </c>
      <c r="D1523" s="455" t="e">
        <f>VLOOKUP(G1523,Table!$G$3:$H$21,2,FALSE)</f>
        <v>#N/A</v>
      </c>
      <c r="E1523" s="452" t="s">
        <v>902</v>
      </c>
      <c r="F1523" s="452" t="s">
        <v>1941</v>
      </c>
      <c r="G1523" s="452" t="s">
        <v>1724</v>
      </c>
      <c r="H1523" s="452" t="s">
        <v>1725</v>
      </c>
      <c r="I1523" s="453" t="s">
        <v>844</v>
      </c>
      <c r="J1523" s="453">
        <v>4369.75</v>
      </c>
      <c r="K1523" s="461">
        <v>1799.35</v>
      </c>
      <c r="L1523" s="461">
        <v>1088.8499999999999</v>
      </c>
      <c r="M1523" s="461">
        <v>1481.55</v>
      </c>
      <c r="N1523" s="461">
        <v>0</v>
      </c>
      <c r="O1523" s="461">
        <v>0</v>
      </c>
      <c r="P1523" s="461">
        <v>0</v>
      </c>
      <c r="Q1523" s="461">
        <v>0</v>
      </c>
      <c r="R1523" s="461">
        <v>0</v>
      </c>
      <c r="S1523" s="461">
        <v>0</v>
      </c>
      <c r="T1523" s="461">
        <v>0</v>
      </c>
      <c r="U1523" s="461">
        <v>0</v>
      </c>
      <c r="V1523" s="461">
        <v>0</v>
      </c>
    </row>
    <row r="1524" spans="1:22" s="455" customFormat="1" hidden="1">
      <c r="A1524" s="455" t="str">
        <f t="shared" si="46"/>
        <v>19504041510520</v>
      </c>
      <c r="B1524" s="455" t="str">
        <f>VLOOKUP(LEFT($C$3:$C$2600,3),Table!$D$2:$E$88,2,FALSE)</f>
        <v>Freight</v>
      </c>
      <c r="C1524" s="455" t="str">
        <f t="shared" si="47"/>
        <v>4041510520</v>
      </c>
      <c r="D1524" s="455" t="e">
        <f>VLOOKUP(G1524,Table!$G$3:$H$21,2,FALSE)</f>
        <v>#N/A</v>
      </c>
      <c r="E1524" s="452" t="s">
        <v>902</v>
      </c>
      <c r="F1524" s="452" t="s">
        <v>1941</v>
      </c>
      <c r="G1524" s="452" t="s">
        <v>1734</v>
      </c>
      <c r="H1524" s="452" t="s">
        <v>1735</v>
      </c>
      <c r="I1524" s="453" t="s">
        <v>844</v>
      </c>
      <c r="J1524" s="453">
        <v>1999.2</v>
      </c>
      <c r="K1524" s="461">
        <v>667.8</v>
      </c>
      <c r="L1524" s="461">
        <v>641.20000000000005</v>
      </c>
      <c r="M1524" s="461">
        <v>690.2</v>
      </c>
      <c r="N1524" s="461">
        <v>0</v>
      </c>
      <c r="O1524" s="461">
        <v>0</v>
      </c>
      <c r="P1524" s="461">
        <v>0</v>
      </c>
      <c r="Q1524" s="461">
        <v>0</v>
      </c>
      <c r="R1524" s="461">
        <v>0</v>
      </c>
      <c r="S1524" s="461">
        <v>0</v>
      </c>
      <c r="T1524" s="461">
        <v>0</v>
      </c>
      <c r="U1524" s="461">
        <v>0</v>
      </c>
      <c r="V1524" s="461">
        <v>0</v>
      </c>
    </row>
    <row r="1525" spans="1:22" s="455" customFormat="1" hidden="1">
      <c r="A1525" s="455" t="str">
        <f t="shared" si="46"/>
        <v>19504041610811</v>
      </c>
      <c r="B1525" s="455" t="str">
        <f>VLOOKUP(LEFT($C$3:$C$2600,3),Table!$D$2:$E$88,2,FALSE)</f>
        <v>Freight</v>
      </c>
      <c r="C1525" s="455" t="str">
        <f t="shared" si="47"/>
        <v>4041610811</v>
      </c>
      <c r="D1525" s="455" t="e">
        <f>VLOOKUP(G1525,Table!$G$3:$H$21,2,FALSE)</f>
        <v>#N/A</v>
      </c>
      <c r="E1525" s="452" t="s">
        <v>902</v>
      </c>
      <c r="F1525" s="452" t="s">
        <v>1941</v>
      </c>
      <c r="G1525" s="452" t="s">
        <v>1743</v>
      </c>
      <c r="H1525" s="452" t="s">
        <v>1744</v>
      </c>
      <c r="I1525" s="453" t="s">
        <v>844</v>
      </c>
      <c r="J1525" s="453">
        <v>624.6</v>
      </c>
      <c r="K1525" s="461">
        <v>556.79999999999995</v>
      </c>
      <c r="L1525" s="461">
        <v>67.8</v>
      </c>
      <c r="M1525" s="461">
        <v>0</v>
      </c>
      <c r="N1525" s="461">
        <v>0</v>
      </c>
      <c r="O1525" s="461">
        <v>0</v>
      </c>
      <c r="P1525" s="461">
        <v>0</v>
      </c>
      <c r="Q1525" s="461">
        <v>0</v>
      </c>
      <c r="R1525" s="461">
        <v>0</v>
      </c>
      <c r="S1525" s="461">
        <v>0</v>
      </c>
      <c r="T1525" s="461">
        <v>0</v>
      </c>
      <c r="U1525" s="461">
        <v>0</v>
      </c>
      <c r="V1525" s="461">
        <v>0</v>
      </c>
    </row>
    <row r="1526" spans="1:22" s="455" customFormat="1" hidden="1">
      <c r="A1526" s="455" t="str">
        <f t="shared" si="46"/>
        <v>19504041610911</v>
      </c>
      <c r="B1526" s="455" t="str">
        <f>VLOOKUP(LEFT($C$3:$C$2600,3),Table!$D$2:$E$88,2,FALSE)</f>
        <v>Freight</v>
      </c>
      <c r="C1526" s="455" t="str">
        <f t="shared" si="47"/>
        <v>4041610911</v>
      </c>
      <c r="D1526" s="455" t="e">
        <f>VLOOKUP(G1526,Table!$G$3:$H$21,2,FALSE)</f>
        <v>#N/A</v>
      </c>
      <c r="E1526" s="452" t="s">
        <v>902</v>
      </c>
      <c r="F1526" s="452" t="s">
        <v>1941</v>
      </c>
      <c r="G1526" s="452" t="s">
        <v>1745</v>
      </c>
      <c r="H1526" s="452" t="s">
        <v>1746</v>
      </c>
      <c r="I1526" s="453" t="s">
        <v>844</v>
      </c>
      <c r="J1526" s="453">
        <v>107.8</v>
      </c>
      <c r="K1526" s="461">
        <v>0</v>
      </c>
      <c r="L1526" s="461">
        <v>51.45</v>
      </c>
      <c r="M1526" s="461">
        <v>56.35</v>
      </c>
      <c r="N1526" s="461">
        <v>0</v>
      </c>
      <c r="O1526" s="461">
        <v>0</v>
      </c>
      <c r="P1526" s="461">
        <v>0</v>
      </c>
      <c r="Q1526" s="461">
        <v>0</v>
      </c>
      <c r="R1526" s="461">
        <v>0</v>
      </c>
      <c r="S1526" s="461">
        <v>0</v>
      </c>
      <c r="T1526" s="461">
        <v>0</v>
      </c>
      <c r="U1526" s="461">
        <v>0</v>
      </c>
      <c r="V1526" s="461">
        <v>0</v>
      </c>
    </row>
    <row r="1527" spans="1:22" s="455" customFormat="1" hidden="1">
      <c r="A1527" s="455" t="str">
        <f t="shared" si="46"/>
        <v>19504041611011</v>
      </c>
      <c r="B1527" s="455" t="str">
        <f>VLOOKUP(LEFT($C$3:$C$2600,3),Table!$D$2:$E$88,2,FALSE)</f>
        <v>Freight</v>
      </c>
      <c r="C1527" s="455" t="str">
        <f t="shared" si="47"/>
        <v>4041611011</v>
      </c>
      <c r="D1527" s="455" t="e">
        <f>VLOOKUP(G1527,Table!$G$3:$H$21,2,FALSE)</f>
        <v>#N/A</v>
      </c>
      <c r="E1527" s="452" t="s">
        <v>902</v>
      </c>
      <c r="F1527" s="452" t="s">
        <v>1941</v>
      </c>
      <c r="G1527" s="452" t="s">
        <v>1747</v>
      </c>
      <c r="H1527" s="452" t="s">
        <v>1748</v>
      </c>
      <c r="I1527" s="453" t="s">
        <v>844</v>
      </c>
      <c r="J1527" s="453">
        <v>340.8</v>
      </c>
      <c r="K1527" s="461">
        <v>340.8</v>
      </c>
      <c r="L1527" s="461">
        <v>0</v>
      </c>
      <c r="M1527" s="461">
        <v>0</v>
      </c>
      <c r="N1527" s="461">
        <v>0</v>
      </c>
      <c r="O1527" s="461">
        <v>0</v>
      </c>
      <c r="P1527" s="461">
        <v>0</v>
      </c>
      <c r="Q1527" s="461">
        <v>0</v>
      </c>
      <c r="R1527" s="461">
        <v>0</v>
      </c>
      <c r="S1527" s="461">
        <v>0</v>
      </c>
      <c r="T1527" s="461">
        <v>0</v>
      </c>
      <c r="U1527" s="461">
        <v>0</v>
      </c>
      <c r="V1527" s="461">
        <v>0</v>
      </c>
    </row>
    <row r="1528" spans="1:22" s="455" customFormat="1" hidden="1">
      <c r="A1528" s="455" t="str">
        <f t="shared" si="46"/>
        <v>19505011030011</v>
      </c>
      <c r="B1528" s="455" t="str">
        <f>VLOOKUP(LEFT($C$3:$C$2600,3),Table!$D$2:$E$88,2,FALSE)</f>
        <v>3rd Party Contracted Metal</v>
      </c>
      <c r="C1528" s="455" t="str">
        <f t="shared" si="47"/>
        <v>5011030011</v>
      </c>
      <c r="D1528" s="455" t="e">
        <f>VLOOKUP(G1528,Table!$G$3:$H$21,2,FALSE)</f>
        <v>#N/A</v>
      </c>
      <c r="E1528" s="452" t="s">
        <v>902</v>
      </c>
      <c r="F1528" s="452" t="s">
        <v>1941</v>
      </c>
      <c r="G1528" s="452" t="s">
        <v>1785</v>
      </c>
      <c r="H1528" s="452" t="s">
        <v>1786</v>
      </c>
      <c r="I1528" s="453" t="s">
        <v>844</v>
      </c>
      <c r="J1528" s="453">
        <v>2188601.12</v>
      </c>
      <c r="K1528" s="461">
        <v>805320.42</v>
      </c>
      <c r="L1528" s="461">
        <v>478083.33</v>
      </c>
      <c r="M1528" s="461">
        <v>905197.37</v>
      </c>
      <c r="N1528" s="461">
        <v>0</v>
      </c>
      <c r="O1528" s="461">
        <v>0</v>
      </c>
      <c r="P1528" s="461">
        <v>0</v>
      </c>
      <c r="Q1528" s="461">
        <v>0</v>
      </c>
      <c r="R1528" s="461">
        <v>0</v>
      </c>
      <c r="S1528" s="461">
        <v>0</v>
      </c>
      <c r="T1528" s="461">
        <v>0</v>
      </c>
      <c r="U1528" s="461">
        <v>0</v>
      </c>
      <c r="V1528" s="461">
        <v>0</v>
      </c>
    </row>
    <row r="1529" spans="1:22" s="455" customFormat="1" hidden="1">
      <c r="A1529" s="455" t="str">
        <f t="shared" si="46"/>
        <v>19505011510311</v>
      </c>
      <c r="B1529" s="455" t="str">
        <f>VLOOKUP(LEFT($C$3:$C$2600,3),Table!$D$2:$E$88,2,FALSE)</f>
        <v>3rd Party Contracted Metal</v>
      </c>
      <c r="C1529" s="455" t="str">
        <f t="shared" si="47"/>
        <v>5011510311</v>
      </c>
      <c r="D1529" s="455" t="e">
        <f>VLOOKUP(G1529,Table!$G$3:$H$21,2,FALSE)</f>
        <v>#N/A</v>
      </c>
      <c r="E1529" s="452" t="s">
        <v>902</v>
      </c>
      <c r="F1529" s="452" t="s">
        <v>1941</v>
      </c>
      <c r="G1529" s="452" t="s">
        <v>1948</v>
      </c>
      <c r="H1529" s="452" t="s">
        <v>1949</v>
      </c>
      <c r="I1529" s="453" t="s">
        <v>844</v>
      </c>
      <c r="J1529" s="453">
        <v>24751794</v>
      </c>
      <c r="K1529" s="461">
        <v>8606046</v>
      </c>
      <c r="L1529" s="461">
        <v>7853662</v>
      </c>
      <c r="M1529" s="461">
        <v>8292086</v>
      </c>
      <c r="N1529" s="461">
        <v>0</v>
      </c>
      <c r="O1529" s="461">
        <v>0</v>
      </c>
      <c r="P1529" s="461">
        <v>0</v>
      </c>
      <c r="Q1529" s="461">
        <v>0</v>
      </c>
      <c r="R1529" s="461">
        <v>0</v>
      </c>
      <c r="S1529" s="461">
        <v>0</v>
      </c>
      <c r="T1529" s="461">
        <v>0</v>
      </c>
      <c r="U1529" s="461">
        <v>0</v>
      </c>
      <c r="V1529" s="461">
        <v>0</v>
      </c>
    </row>
    <row r="1530" spans="1:22" s="455" customFormat="1" hidden="1">
      <c r="A1530" s="455" t="str">
        <f t="shared" si="46"/>
        <v>19505011510520</v>
      </c>
      <c r="B1530" s="455" t="str">
        <f>VLOOKUP(LEFT($C$3:$C$2600,3),Table!$D$2:$E$88,2,FALSE)</f>
        <v>3rd Party Contracted Metal</v>
      </c>
      <c r="C1530" s="455" t="str">
        <f t="shared" si="47"/>
        <v>5011510520</v>
      </c>
      <c r="D1530" s="455" t="e">
        <f>VLOOKUP(G1530,Table!$G$3:$H$21,2,FALSE)</f>
        <v>#N/A</v>
      </c>
      <c r="E1530" s="452" t="s">
        <v>902</v>
      </c>
      <c r="F1530" s="452" t="s">
        <v>1941</v>
      </c>
      <c r="G1530" s="452" t="s">
        <v>1793</v>
      </c>
      <c r="H1530" s="452" t="s">
        <v>1794</v>
      </c>
      <c r="I1530" s="453" t="s">
        <v>844</v>
      </c>
      <c r="J1530" s="453">
        <v>457412.23</v>
      </c>
      <c r="K1530" s="461">
        <v>152136.42000000001</v>
      </c>
      <c r="L1530" s="461">
        <v>146710.26999999999</v>
      </c>
      <c r="M1530" s="461">
        <v>158565.54</v>
      </c>
      <c r="N1530" s="461">
        <v>0</v>
      </c>
      <c r="O1530" s="461">
        <v>0</v>
      </c>
      <c r="P1530" s="461">
        <v>0</v>
      </c>
      <c r="Q1530" s="461">
        <v>0</v>
      </c>
      <c r="R1530" s="461">
        <v>0</v>
      </c>
      <c r="S1530" s="461">
        <v>0</v>
      </c>
      <c r="T1530" s="461">
        <v>0</v>
      </c>
      <c r="U1530" s="461">
        <v>0</v>
      </c>
      <c r="V1530" s="461">
        <v>0</v>
      </c>
    </row>
    <row r="1531" spans="1:22" s="455" customFormat="1" hidden="1">
      <c r="A1531" s="455" t="str">
        <f t="shared" si="46"/>
        <v>19505011610811</v>
      </c>
      <c r="B1531" s="455" t="str">
        <f>VLOOKUP(LEFT($C$3:$C$2600,3),Table!$D$2:$E$88,2,FALSE)</f>
        <v>3rd Party Contracted Metal</v>
      </c>
      <c r="C1531" s="455" t="str">
        <f t="shared" si="47"/>
        <v>5011610811</v>
      </c>
      <c r="D1531" s="455" t="e">
        <f>VLOOKUP(G1531,Table!$G$3:$H$21,2,FALSE)</f>
        <v>#N/A</v>
      </c>
      <c r="E1531" s="452" t="s">
        <v>902</v>
      </c>
      <c r="F1531" s="452" t="s">
        <v>1941</v>
      </c>
      <c r="G1531" s="452" t="s">
        <v>1802</v>
      </c>
      <c r="H1531" s="452" t="s">
        <v>1803</v>
      </c>
      <c r="I1531" s="453" t="s">
        <v>844</v>
      </c>
      <c r="J1531" s="453">
        <v>68807</v>
      </c>
      <c r="K1531" s="461">
        <v>73991</v>
      </c>
      <c r="L1531" s="461">
        <v>9070</v>
      </c>
      <c r="M1531" s="461">
        <v>-14254</v>
      </c>
      <c r="N1531" s="461">
        <v>0</v>
      </c>
      <c r="O1531" s="461">
        <v>0</v>
      </c>
      <c r="P1531" s="461">
        <v>0</v>
      </c>
      <c r="Q1531" s="461">
        <v>0</v>
      </c>
      <c r="R1531" s="461">
        <v>0</v>
      </c>
      <c r="S1531" s="461">
        <v>0</v>
      </c>
      <c r="T1531" s="461">
        <v>0</v>
      </c>
      <c r="U1531" s="461">
        <v>0</v>
      </c>
      <c r="V1531" s="461">
        <v>0</v>
      </c>
    </row>
    <row r="1532" spans="1:22" s="455" customFormat="1" hidden="1">
      <c r="A1532" s="455" t="str">
        <f t="shared" si="46"/>
        <v>19505011610911</v>
      </c>
      <c r="B1532" s="455" t="str">
        <f>VLOOKUP(LEFT($C$3:$C$2600,3),Table!$D$2:$E$88,2,FALSE)</f>
        <v>3rd Party Contracted Metal</v>
      </c>
      <c r="C1532" s="455" t="str">
        <f t="shared" si="47"/>
        <v>5011610911</v>
      </c>
      <c r="D1532" s="455" t="e">
        <f>VLOOKUP(G1532,Table!$G$3:$H$21,2,FALSE)</f>
        <v>#N/A</v>
      </c>
      <c r="E1532" s="452" t="s">
        <v>902</v>
      </c>
      <c r="F1532" s="452" t="s">
        <v>1941</v>
      </c>
      <c r="G1532" s="452" t="s">
        <v>1804</v>
      </c>
      <c r="H1532" s="452" t="s">
        <v>1805</v>
      </c>
      <c r="I1532" s="453" t="s">
        <v>844</v>
      </c>
      <c r="J1532" s="453">
        <v>24719.41</v>
      </c>
      <c r="K1532" s="461">
        <v>0</v>
      </c>
      <c r="L1532" s="461">
        <v>11791.59</v>
      </c>
      <c r="M1532" s="461">
        <v>12927.82</v>
      </c>
      <c r="N1532" s="461">
        <v>0</v>
      </c>
      <c r="O1532" s="461">
        <v>0</v>
      </c>
      <c r="P1532" s="461">
        <v>0</v>
      </c>
      <c r="Q1532" s="461">
        <v>0</v>
      </c>
      <c r="R1532" s="461">
        <v>0</v>
      </c>
      <c r="S1532" s="461">
        <v>0</v>
      </c>
      <c r="T1532" s="461">
        <v>0</v>
      </c>
      <c r="U1532" s="461">
        <v>0</v>
      </c>
      <c r="V1532" s="461">
        <v>0</v>
      </c>
    </row>
    <row r="1533" spans="1:22" s="455" customFormat="1" hidden="1">
      <c r="A1533" s="455" t="str">
        <f t="shared" si="46"/>
        <v>19505011611011</v>
      </c>
      <c r="B1533" s="455" t="str">
        <f>VLOOKUP(LEFT($C$3:$C$2600,3),Table!$D$2:$E$88,2,FALSE)</f>
        <v>3rd Party Contracted Metal</v>
      </c>
      <c r="C1533" s="455" t="str">
        <f t="shared" si="47"/>
        <v>5011611011</v>
      </c>
      <c r="D1533" s="455" t="e">
        <f>VLOOKUP(G1533,Table!$G$3:$H$21,2,FALSE)</f>
        <v>#N/A</v>
      </c>
      <c r="E1533" s="452" t="s">
        <v>902</v>
      </c>
      <c r="F1533" s="452" t="s">
        <v>1941</v>
      </c>
      <c r="G1533" s="452" t="s">
        <v>1806</v>
      </c>
      <c r="H1533" s="452" t="s">
        <v>1807</v>
      </c>
      <c r="I1533" s="453" t="s">
        <v>844</v>
      </c>
      <c r="J1533" s="453">
        <v>45252.62</v>
      </c>
      <c r="K1533" s="461">
        <v>45252.62</v>
      </c>
      <c r="L1533" s="461">
        <v>0</v>
      </c>
      <c r="M1533" s="461">
        <v>0</v>
      </c>
      <c r="N1533" s="461">
        <v>0</v>
      </c>
      <c r="O1533" s="461">
        <v>0</v>
      </c>
      <c r="P1533" s="461">
        <v>0</v>
      </c>
      <c r="Q1533" s="461">
        <v>0</v>
      </c>
      <c r="R1533" s="461">
        <v>0</v>
      </c>
      <c r="S1533" s="461">
        <v>0</v>
      </c>
      <c r="T1533" s="461">
        <v>0</v>
      </c>
      <c r="U1533" s="461">
        <v>0</v>
      </c>
      <c r="V1533" s="461">
        <v>0</v>
      </c>
    </row>
    <row r="1534" spans="1:22" s="455" customFormat="1" hidden="1">
      <c r="A1534" s="455" t="str">
        <f t="shared" si="46"/>
        <v>19505021030011</v>
      </c>
      <c r="B1534" s="455" t="str">
        <f>VLOOKUP(LEFT($C$3:$C$2600,3),Table!$D$2:$E$88,2,FALSE)</f>
        <v>3rd Party Contracted Metal</v>
      </c>
      <c r="C1534" s="455" t="str">
        <f t="shared" si="47"/>
        <v>5021030011</v>
      </c>
      <c r="D1534" s="455" t="e">
        <f>VLOOKUP(G1534,Table!$G$3:$H$21,2,FALSE)</f>
        <v>#N/A</v>
      </c>
      <c r="E1534" s="452" t="s">
        <v>902</v>
      </c>
      <c r="F1534" s="452" t="s">
        <v>1941</v>
      </c>
      <c r="G1534" s="452" t="s">
        <v>2584</v>
      </c>
      <c r="H1534" s="452" t="s">
        <v>2585</v>
      </c>
      <c r="I1534" s="453" t="s">
        <v>844</v>
      </c>
      <c r="J1534" s="453">
        <v>3530.13</v>
      </c>
      <c r="K1534" s="461">
        <v>0</v>
      </c>
      <c r="L1534" s="461">
        <v>497.1</v>
      </c>
      <c r="M1534" s="461">
        <v>3033.03</v>
      </c>
      <c r="N1534" s="461">
        <v>0</v>
      </c>
      <c r="O1534" s="461">
        <v>0</v>
      </c>
      <c r="P1534" s="461">
        <v>0</v>
      </c>
      <c r="Q1534" s="461">
        <v>0</v>
      </c>
      <c r="R1534" s="461">
        <v>0</v>
      </c>
      <c r="S1534" s="461">
        <v>0</v>
      </c>
      <c r="T1534" s="461">
        <v>0</v>
      </c>
      <c r="U1534" s="461">
        <v>0</v>
      </c>
      <c r="V1534" s="461">
        <v>0</v>
      </c>
    </row>
    <row r="1535" spans="1:22" s="455" customFormat="1" hidden="1">
      <c r="A1535" s="455" t="str">
        <f t="shared" si="46"/>
        <v>19505021510311</v>
      </c>
      <c r="B1535" s="455" t="str">
        <f>VLOOKUP(LEFT($C$3:$C$2600,3),Table!$D$2:$E$88,2,FALSE)</f>
        <v>3rd Party Contracted Metal</v>
      </c>
      <c r="C1535" s="455" t="str">
        <f t="shared" si="47"/>
        <v>5021510311</v>
      </c>
      <c r="D1535" s="455" t="e">
        <f>VLOOKUP(G1535,Table!$G$3:$H$21,2,FALSE)</f>
        <v>#N/A</v>
      </c>
      <c r="E1535" s="452" t="s">
        <v>902</v>
      </c>
      <c r="F1535" s="452" t="s">
        <v>1941</v>
      </c>
      <c r="G1535" s="452" t="s">
        <v>1950</v>
      </c>
      <c r="H1535" s="452" t="s">
        <v>1951</v>
      </c>
      <c r="I1535" s="453" t="s">
        <v>844</v>
      </c>
      <c r="J1535" s="453">
        <v>371442</v>
      </c>
      <c r="K1535" s="461">
        <v>123600</v>
      </c>
      <c r="L1535" s="461">
        <v>131161</v>
      </c>
      <c r="M1535" s="461">
        <v>116681</v>
      </c>
      <c r="N1535" s="461">
        <v>0</v>
      </c>
      <c r="O1535" s="461">
        <v>0</v>
      </c>
      <c r="P1535" s="461">
        <v>0</v>
      </c>
      <c r="Q1535" s="461">
        <v>0</v>
      </c>
      <c r="R1535" s="461">
        <v>0</v>
      </c>
      <c r="S1535" s="461">
        <v>0</v>
      </c>
      <c r="T1535" s="461">
        <v>0</v>
      </c>
      <c r="U1535" s="461">
        <v>0</v>
      </c>
      <c r="V1535" s="461">
        <v>0</v>
      </c>
    </row>
    <row r="1536" spans="1:22" s="455" customFormat="1" hidden="1">
      <c r="A1536" s="455" t="str">
        <f t="shared" si="46"/>
        <v>19505021510520</v>
      </c>
      <c r="B1536" s="455" t="str">
        <f>VLOOKUP(LEFT($C$3:$C$2600,3),Table!$D$2:$E$88,2,FALSE)</f>
        <v>3rd Party Contracted Metal</v>
      </c>
      <c r="C1536" s="455" t="str">
        <f t="shared" si="47"/>
        <v>5021510520</v>
      </c>
      <c r="D1536" s="455" t="e">
        <f>VLOOKUP(G1536,Table!$G$3:$H$21,2,FALSE)</f>
        <v>#N/A</v>
      </c>
      <c r="E1536" s="452" t="s">
        <v>902</v>
      </c>
      <c r="F1536" s="452" t="s">
        <v>1941</v>
      </c>
      <c r="G1536" s="452" t="s">
        <v>1808</v>
      </c>
      <c r="H1536" s="452" t="s">
        <v>1809</v>
      </c>
      <c r="I1536" s="453" t="s">
        <v>844</v>
      </c>
      <c r="J1536" s="453">
        <v>719.29</v>
      </c>
      <c r="K1536" s="461">
        <v>280.14</v>
      </c>
      <c r="L1536" s="461">
        <v>218.56</v>
      </c>
      <c r="M1536" s="461">
        <v>220.59</v>
      </c>
      <c r="N1536" s="461">
        <v>0</v>
      </c>
      <c r="O1536" s="461">
        <v>0</v>
      </c>
      <c r="P1536" s="461">
        <v>0</v>
      </c>
      <c r="Q1536" s="461">
        <v>0</v>
      </c>
      <c r="R1536" s="461">
        <v>0</v>
      </c>
      <c r="S1536" s="461">
        <v>0</v>
      </c>
      <c r="T1536" s="461">
        <v>0</v>
      </c>
      <c r="U1536" s="461">
        <v>0</v>
      </c>
      <c r="V1536" s="461">
        <v>0</v>
      </c>
    </row>
    <row r="1537" spans="1:22" s="455" customFormat="1" hidden="1">
      <c r="A1537" s="455" t="str">
        <f t="shared" si="46"/>
        <v>19505021610811</v>
      </c>
      <c r="B1537" s="455" t="str">
        <f>VLOOKUP(LEFT($C$3:$C$2600,3),Table!$D$2:$E$88,2,FALSE)</f>
        <v>3rd Party Contracted Metal</v>
      </c>
      <c r="C1537" s="455" t="str">
        <f t="shared" si="47"/>
        <v>5021610811</v>
      </c>
      <c r="D1537" s="455" t="e">
        <f>VLOOKUP(G1537,Table!$G$3:$H$21,2,FALSE)</f>
        <v>#N/A</v>
      </c>
      <c r="E1537" s="452" t="s">
        <v>902</v>
      </c>
      <c r="F1537" s="452" t="s">
        <v>1941</v>
      </c>
      <c r="G1537" s="452" t="s">
        <v>1812</v>
      </c>
      <c r="H1537" s="452" t="s">
        <v>1813</v>
      </c>
      <c r="I1537" s="453" t="s">
        <v>844</v>
      </c>
      <c r="J1537" s="453">
        <v>14116</v>
      </c>
      <c r="K1537" s="461">
        <v>11880</v>
      </c>
      <c r="L1537" s="461">
        <v>2236</v>
      </c>
      <c r="M1537" s="461">
        <v>0</v>
      </c>
      <c r="N1537" s="461">
        <v>0</v>
      </c>
      <c r="O1537" s="461">
        <v>0</v>
      </c>
      <c r="P1537" s="461">
        <v>0</v>
      </c>
      <c r="Q1537" s="461">
        <v>0</v>
      </c>
      <c r="R1537" s="461">
        <v>0</v>
      </c>
      <c r="S1537" s="461">
        <v>0</v>
      </c>
      <c r="T1537" s="461">
        <v>0</v>
      </c>
      <c r="U1537" s="461">
        <v>0</v>
      </c>
      <c r="V1537" s="461">
        <v>0</v>
      </c>
    </row>
    <row r="1538" spans="1:22" s="455" customFormat="1" hidden="1">
      <c r="A1538" s="455" t="str">
        <f t="shared" si="46"/>
        <v>19505021610911</v>
      </c>
      <c r="B1538" s="455" t="str">
        <f>VLOOKUP(LEFT($C$3:$C$2600,3),Table!$D$2:$E$88,2,FALSE)</f>
        <v>3rd Party Contracted Metal</v>
      </c>
      <c r="C1538" s="455" t="str">
        <f t="shared" si="47"/>
        <v>5021610911</v>
      </c>
      <c r="D1538" s="455" t="e">
        <f>VLOOKUP(G1538,Table!$G$3:$H$21,2,FALSE)</f>
        <v>#N/A</v>
      </c>
      <c r="E1538" s="452" t="s">
        <v>902</v>
      </c>
      <c r="F1538" s="452" t="s">
        <v>1941</v>
      </c>
      <c r="G1538" s="452" t="s">
        <v>1814</v>
      </c>
      <c r="H1538" s="452" t="s">
        <v>1815</v>
      </c>
      <c r="I1538" s="453" t="s">
        <v>844</v>
      </c>
      <c r="J1538" s="453">
        <v>6361.49</v>
      </c>
      <c r="K1538" s="461">
        <v>0</v>
      </c>
      <c r="L1538" s="461">
        <v>3077.34</v>
      </c>
      <c r="M1538" s="461">
        <v>3284.15</v>
      </c>
      <c r="N1538" s="461">
        <v>0</v>
      </c>
      <c r="O1538" s="461">
        <v>0</v>
      </c>
      <c r="P1538" s="461">
        <v>0</v>
      </c>
      <c r="Q1538" s="461">
        <v>0</v>
      </c>
      <c r="R1538" s="461">
        <v>0</v>
      </c>
      <c r="S1538" s="461">
        <v>0</v>
      </c>
      <c r="T1538" s="461">
        <v>0</v>
      </c>
      <c r="U1538" s="461">
        <v>0</v>
      </c>
      <c r="V1538" s="461">
        <v>0</v>
      </c>
    </row>
    <row r="1539" spans="1:22" s="455" customFormat="1" hidden="1">
      <c r="A1539" s="455" t="str">
        <f t="shared" si="46"/>
        <v>19505021611011</v>
      </c>
      <c r="B1539" s="455" t="str">
        <f>VLOOKUP(LEFT($C$3:$C$2600,3),Table!$D$2:$E$88,2,FALSE)</f>
        <v>3rd Party Contracted Metal</v>
      </c>
      <c r="C1539" s="455" t="str">
        <f t="shared" si="47"/>
        <v>5021611011</v>
      </c>
      <c r="D1539" s="455" t="e">
        <f>VLOOKUP(G1539,Table!$G$3:$H$21,2,FALSE)</f>
        <v>#N/A</v>
      </c>
      <c r="E1539" s="452" t="s">
        <v>902</v>
      </c>
      <c r="F1539" s="452" t="s">
        <v>1941</v>
      </c>
      <c r="G1539" s="452" t="s">
        <v>1816</v>
      </c>
      <c r="H1539" s="452" t="s">
        <v>1817</v>
      </c>
      <c r="I1539" s="453" t="s">
        <v>844</v>
      </c>
      <c r="J1539" s="453">
        <v>15066.26</v>
      </c>
      <c r="K1539" s="461">
        <v>15066.26</v>
      </c>
      <c r="L1539" s="461">
        <v>0</v>
      </c>
      <c r="M1539" s="461">
        <v>0</v>
      </c>
      <c r="N1539" s="461">
        <v>0</v>
      </c>
      <c r="O1539" s="461">
        <v>0</v>
      </c>
      <c r="P1539" s="461">
        <v>0</v>
      </c>
      <c r="Q1539" s="461">
        <v>0</v>
      </c>
      <c r="R1539" s="461">
        <v>0</v>
      </c>
      <c r="S1539" s="461">
        <v>0</v>
      </c>
      <c r="T1539" s="461">
        <v>0</v>
      </c>
      <c r="U1539" s="461">
        <v>0</v>
      </c>
      <c r="V1539" s="461">
        <v>0</v>
      </c>
    </row>
    <row r="1540" spans="1:22" s="455" customFormat="1" hidden="1">
      <c r="A1540" s="455" t="str">
        <f t="shared" ref="A1540:A1603" si="48">F1540&amp;G1540</f>
        <v>19505031030011</v>
      </c>
      <c r="B1540" s="455" t="str">
        <f>VLOOKUP(LEFT($C$3:$C$2600,3),Table!$D$2:$E$88,2,FALSE)</f>
        <v>Melt Loss</v>
      </c>
      <c r="C1540" s="455" t="str">
        <f t="shared" ref="C1540:C1603" si="49">IF(ISNA(D1540),G1540,D1540)</f>
        <v>5031030011</v>
      </c>
      <c r="D1540" s="455" t="e">
        <f>VLOOKUP(G1540,Table!$G$3:$H$21,2,FALSE)</f>
        <v>#N/A</v>
      </c>
      <c r="E1540" s="452" t="s">
        <v>902</v>
      </c>
      <c r="F1540" s="452" t="s">
        <v>1941</v>
      </c>
      <c r="G1540" s="452" t="s">
        <v>1824</v>
      </c>
      <c r="H1540" s="452" t="s">
        <v>1825</v>
      </c>
      <c r="I1540" s="453" t="s">
        <v>844</v>
      </c>
      <c r="J1540" s="453">
        <v>71643.87</v>
      </c>
      <c r="K1540" s="461">
        <v>22740.78</v>
      </c>
      <c r="L1540" s="461">
        <v>21783.360000000001</v>
      </c>
      <c r="M1540" s="461">
        <v>27119.73</v>
      </c>
      <c r="N1540" s="461">
        <v>0</v>
      </c>
      <c r="O1540" s="461">
        <v>0</v>
      </c>
      <c r="P1540" s="461">
        <v>0</v>
      </c>
      <c r="Q1540" s="461">
        <v>0</v>
      </c>
      <c r="R1540" s="461">
        <v>0</v>
      </c>
      <c r="S1540" s="461">
        <v>0</v>
      </c>
      <c r="T1540" s="461">
        <v>0</v>
      </c>
      <c r="U1540" s="461">
        <v>0</v>
      </c>
      <c r="V1540" s="461">
        <v>0</v>
      </c>
    </row>
    <row r="1541" spans="1:22" s="455" customFormat="1" hidden="1">
      <c r="A1541" s="455" t="str">
        <f t="shared" si="48"/>
        <v>19505031510311</v>
      </c>
      <c r="B1541" s="455" t="str">
        <f>VLOOKUP(LEFT($C$3:$C$2600,3),Table!$D$2:$E$88,2,FALSE)</f>
        <v>Melt Loss</v>
      </c>
      <c r="C1541" s="455" t="str">
        <f t="shared" si="49"/>
        <v>5031510311</v>
      </c>
      <c r="D1541" s="455" t="e">
        <f>VLOOKUP(G1541,Table!$G$3:$H$21,2,FALSE)</f>
        <v>#N/A</v>
      </c>
      <c r="E1541" s="452" t="s">
        <v>902</v>
      </c>
      <c r="F1541" s="452" t="s">
        <v>1941</v>
      </c>
      <c r="G1541" s="452" t="s">
        <v>1952</v>
      </c>
      <c r="H1541" s="452" t="s">
        <v>1953</v>
      </c>
      <c r="I1541" s="453" t="s">
        <v>844</v>
      </c>
      <c r="J1541" s="453">
        <v>849297</v>
      </c>
      <c r="K1541" s="461">
        <v>243020</v>
      </c>
      <c r="L1541" s="461">
        <v>357844</v>
      </c>
      <c r="M1541" s="461">
        <v>248433</v>
      </c>
      <c r="N1541" s="461">
        <v>0</v>
      </c>
      <c r="O1541" s="461">
        <v>0</v>
      </c>
      <c r="P1541" s="461">
        <v>0</v>
      </c>
      <c r="Q1541" s="461">
        <v>0</v>
      </c>
      <c r="R1541" s="461">
        <v>0</v>
      </c>
      <c r="S1541" s="461">
        <v>0</v>
      </c>
      <c r="T1541" s="461">
        <v>0</v>
      </c>
      <c r="U1541" s="461">
        <v>0</v>
      </c>
      <c r="V1541" s="461">
        <v>0</v>
      </c>
    </row>
    <row r="1542" spans="1:22" s="455" customFormat="1" hidden="1">
      <c r="A1542" s="455" t="str">
        <f t="shared" si="48"/>
        <v>19505031510520</v>
      </c>
      <c r="B1542" s="455" t="str">
        <f>VLOOKUP(LEFT($C$3:$C$2600,3),Table!$D$2:$E$88,2,FALSE)</f>
        <v>Melt Loss</v>
      </c>
      <c r="C1542" s="455" t="str">
        <f t="shared" si="49"/>
        <v>5031510520</v>
      </c>
      <c r="D1542" s="455" t="e">
        <f>VLOOKUP(G1542,Table!$G$3:$H$21,2,FALSE)</f>
        <v>#N/A</v>
      </c>
      <c r="E1542" s="452" t="s">
        <v>902</v>
      </c>
      <c r="F1542" s="452" t="s">
        <v>1941</v>
      </c>
      <c r="G1542" s="452" t="s">
        <v>1832</v>
      </c>
      <c r="H1542" s="452" t="s">
        <v>1833</v>
      </c>
      <c r="I1542" s="453" t="s">
        <v>844</v>
      </c>
      <c r="J1542" s="453">
        <v>15731.45</v>
      </c>
      <c r="K1542" s="461">
        <v>4296.08</v>
      </c>
      <c r="L1542" s="461">
        <v>6684.71</v>
      </c>
      <c r="M1542" s="461">
        <v>4750.66</v>
      </c>
      <c r="N1542" s="461">
        <v>0</v>
      </c>
      <c r="O1542" s="461">
        <v>0</v>
      </c>
      <c r="P1542" s="461">
        <v>0</v>
      </c>
      <c r="Q1542" s="461">
        <v>0</v>
      </c>
      <c r="R1542" s="461">
        <v>0</v>
      </c>
      <c r="S1542" s="461">
        <v>0</v>
      </c>
      <c r="T1542" s="461">
        <v>0</v>
      </c>
      <c r="U1542" s="461">
        <v>0</v>
      </c>
      <c r="V1542" s="461">
        <v>0</v>
      </c>
    </row>
    <row r="1543" spans="1:22" s="455" customFormat="1" hidden="1">
      <c r="A1543" s="455" t="str">
        <f t="shared" si="48"/>
        <v>19505041030011</v>
      </c>
      <c r="B1543" s="455" t="str">
        <f>VLOOKUP(LEFT($C$3:$C$2600,3),Table!$D$2:$E$88,2,FALSE)</f>
        <v>3rd Party Contracted Metal</v>
      </c>
      <c r="C1543" s="455" t="str">
        <f t="shared" si="49"/>
        <v>5041030011</v>
      </c>
      <c r="D1543" s="455" t="e">
        <f>VLOOKUP(G1543,Table!$G$3:$H$21,2,FALSE)</f>
        <v>#N/A</v>
      </c>
      <c r="E1543" s="452" t="s">
        <v>902</v>
      </c>
      <c r="F1543" s="452" t="s">
        <v>1941</v>
      </c>
      <c r="G1543" s="452" t="s">
        <v>1845</v>
      </c>
      <c r="H1543" s="452" t="s">
        <v>1846</v>
      </c>
      <c r="I1543" s="453" t="s">
        <v>844</v>
      </c>
      <c r="J1543" s="453">
        <v>-96058.1</v>
      </c>
      <c r="K1543" s="461">
        <v>-40877.31</v>
      </c>
      <c r="L1543" s="461">
        <v>-20421.5</v>
      </c>
      <c r="M1543" s="461">
        <v>-34759.29</v>
      </c>
      <c r="N1543" s="461">
        <v>0</v>
      </c>
      <c r="O1543" s="461">
        <v>0</v>
      </c>
      <c r="P1543" s="461">
        <v>0</v>
      </c>
      <c r="Q1543" s="461">
        <v>0</v>
      </c>
      <c r="R1543" s="461">
        <v>0</v>
      </c>
      <c r="S1543" s="461">
        <v>0</v>
      </c>
      <c r="T1543" s="461">
        <v>0</v>
      </c>
      <c r="U1543" s="461">
        <v>0</v>
      </c>
      <c r="V1543" s="461">
        <v>0</v>
      </c>
    </row>
    <row r="1544" spans="1:22" s="455" customFormat="1" hidden="1">
      <c r="A1544" s="455" t="str">
        <f t="shared" si="48"/>
        <v>19505041510311</v>
      </c>
      <c r="B1544" s="455" t="str">
        <f>VLOOKUP(LEFT($C$3:$C$2600,3),Table!$D$2:$E$88,2,FALSE)</f>
        <v>3rd Party Contracted Metal</v>
      </c>
      <c r="C1544" s="455" t="str">
        <f t="shared" si="49"/>
        <v>5041510311</v>
      </c>
      <c r="D1544" s="455" t="e">
        <f>VLOOKUP(G1544,Table!$G$3:$H$21,2,FALSE)</f>
        <v>#N/A</v>
      </c>
      <c r="E1544" s="452" t="s">
        <v>902</v>
      </c>
      <c r="F1544" s="452" t="s">
        <v>1941</v>
      </c>
      <c r="G1544" s="452" t="s">
        <v>1954</v>
      </c>
      <c r="H1544" s="452" t="s">
        <v>1955</v>
      </c>
      <c r="I1544" s="453" t="s">
        <v>844</v>
      </c>
      <c r="J1544" s="453">
        <v>-665706</v>
      </c>
      <c r="K1544" s="461">
        <v>-106529</v>
      </c>
      <c r="L1544" s="461">
        <v>-290915</v>
      </c>
      <c r="M1544" s="461">
        <v>-268262</v>
      </c>
      <c r="N1544" s="461">
        <v>0</v>
      </c>
      <c r="O1544" s="461">
        <v>0</v>
      </c>
      <c r="P1544" s="461">
        <v>0</v>
      </c>
      <c r="Q1544" s="461">
        <v>0</v>
      </c>
      <c r="R1544" s="461">
        <v>0</v>
      </c>
      <c r="S1544" s="461">
        <v>0</v>
      </c>
      <c r="T1544" s="461">
        <v>0</v>
      </c>
      <c r="U1544" s="461">
        <v>0</v>
      </c>
      <c r="V1544" s="461">
        <v>0</v>
      </c>
    </row>
    <row r="1545" spans="1:22" s="455" customFormat="1" hidden="1">
      <c r="A1545" s="455" t="str">
        <f t="shared" si="48"/>
        <v>19505041510520</v>
      </c>
      <c r="B1545" s="455" t="str">
        <f>VLOOKUP(LEFT($C$3:$C$2600,3),Table!$D$2:$E$88,2,FALSE)</f>
        <v>3rd Party Contracted Metal</v>
      </c>
      <c r="C1545" s="455" t="str">
        <f t="shared" si="49"/>
        <v>5041510520</v>
      </c>
      <c r="D1545" s="455" t="e">
        <f>VLOOKUP(G1545,Table!$G$3:$H$21,2,FALSE)</f>
        <v>#N/A</v>
      </c>
      <c r="E1545" s="452" t="s">
        <v>902</v>
      </c>
      <c r="F1545" s="452" t="s">
        <v>1941</v>
      </c>
      <c r="G1545" s="452" t="s">
        <v>1853</v>
      </c>
      <c r="H1545" s="452" t="s">
        <v>1854</v>
      </c>
      <c r="I1545" s="453" t="s">
        <v>844</v>
      </c>
      <c r="J1545" s="453">
        <v>-20077.900000000001</v>
      </c>
      <c r="K1545" s="461">
        <v>-7722.26</v>
      </c>
      <c r="L1545" s="461">
        <v>-6266.81</v>
      </c>
      <c r="M1545" s="461">
        <v>-6088.83</v>
      </c>
      <c r="N1545" s="461">
        <v>0</v>
      </c>
      <c r="O1545" s="461">
        <v>0</v>
      </c>
      <c r="P1545" s="461">
        <v>0</v>
      </c>
      <c r="Q1545" s="461">
        <v>0</v>
      </c>
      <c r="R1545" s="461">
        <v>0</v>
      </c>
      <c r="S1545" s="461">
        <v>0</v>
      </c>
      <c r="T1545" s="461">
        <v>0</v>
      </c>
      <c r="U1545" s="461">
        <v>0</v>
      </c>
      <c r="V1545" s="461">
        <v>0</v>
      </c>
    </row>
    <row r="1546" spans="1:22" s="455" customFormat="1" hidden="1">
      <c r="A1546" s="455" t="str">
        <f t="shared" si="48"/>
        <v>19505051030011</v>
      </c>
      <c r="B1546" s="455" t="str">
        <f>VLOOKUP(LEFT($C$3:$C$2600,3),Table!$D$2:$E$88,2,FALSE)</f>
        <v>Dross Savings</v>
      </c>
      <c r="C1546" s="455" t="str">
        <f t="shared" si="49"/>
        <v>5051030011</v>
      </c>
      <c r="D1546" s="455" t="e">
        <f>VLOOKUP(G1546,Table!$G$3:$H$21,2,FALSE)</f>
        <v>#N/A</v>
      </c>
      <c r="E1546" s="452" t="s">
        <v>902</v>
      </c>
      <c r="F1546" s="452" t="s">
        <v>1941</v>
      </c>
      <c r="G1546" s="452" t="s">
        <v>1866</v>
      </c>
      <c r="H1546" s="452" t="s">
        <v>1867</v>
      </c>
      <c r="I1546" s="453" t="s">
        <v>844</v>
      </c>
      <c r="J1546" s="453">
        <v>-30498.080000000002</v>
      </c>
      <c r="K1546" s="461">
        <v>-11696.63</v>
      </c>
      <c r="L1546" s="461">
        <v>-4385.66</v>
      </c>
      <c r="M1546" s="461">
        <v>-14415.79</v>
      </c>
      <c r="N1546" s="461">
        <v>0</v>
      </c>
      <c r="O1546" s="461">
        <v>0</v>
      </c>
      <c r="P1546" s="461">
        <v>0</v>
      </c>
      <c r="Q1546" s="461">
        <v>0</v>
      </c>
      <c r="R1546" s="461">
        <v>0</v>
      </c>
      <c r="S1546" s="461">
        <v>0</v>
      </c>
      <c r="T1546" s="461">
        <v>0</v>
      </c>
      <c r="U1546" s="461">
        <v>0</v>
      </c>
      <c r="V1546" s="461">
        <v>0</v>
      </c>
    </row>
    <row r="1547" spans="1:22" s="455" customFormat="1" hidden="1">
      <c r="A1547" s="455" t="str">
        <f t="shared" si="48"/>
        <v>19505051510311</v>
      </c>
      <c r="B1547" s="455" t="str">
        <f>VLOOKUP(LEFT($C$3:$C$2600,3),Table!$D$2:$E$88,2,FALSE)</f>
        <v>Dross Savings</v>
      </c>
      <c r="C1547" s="455" t="str">
        <f t="shared" si="49"/>
        <v>5051510311</v>
      </c>
      <c r="D1547" s="455" t="e">
        <f>VLOOKUP(G1547,Table!$G$3:$H$21,2,FALSE)</f>
        <v>#N/A</v>
      </c>
      <c r="E1547" s="452" t="s">
        <v>902</v>
      </c>
      <c r="F1547" s="452" t="s">
        <v>1941</v>
      </c>
      <c r="G1547" s="452" t="s">
        <v>1956</v>
      </c>
      <c r="H1547" s="452" t="s">
        <v>1957</v>
      </c>
      <c r="I1547" s="453" t="s">
        <v>844</v>
      </c>
      <c r="J1547" s="453">
        <v>-329101</v>
      </c>
      <c r="K1547" s="461">
        <v>-124997</v>
      </c>
      <c r="L1547" s="461">
        <v>-72046</v>
      </c>
      <c r="M1547" s="461">
        <v>-132058</v>
      </c>
      <c r="N1547" s="461">
        <v>0</v>
      </c>
      <c r="O1547" s="461">
        <v>0</v>
      </c>
      <c r="P1547" s="461">
        <v>0</v>
      </c>
      <c r="Q1547" s="461">
        <v>0</v>
      </c>
      <c r="R1547" s="461">
        <v>0</v>
      </c>
      <c r="S1547" s="461">
        <v>0</v>
      </c>
      <c r="T1547" s="461">
        <v>0</v>
      </c>
      <c r="U1547" s="461">
        <v>0</v>
      </c>
      <c r="V1547" s="461">
        <v>0</v>
      </c>
    </row>
    <row r="1548" spans="1:22" s="455" customFormat="1" hidden="1">
      <c r="A1548" s="455" t="str">
        <f t="shared" si="48"/>
        <v>19505051510520</v>
      </c>
      <c r="B1548" s="455" t="str">
        <f>VLOOKUP(LEFT($C$3:$C$2600,3),Table!$D$2:$E$88,2,FALSE)</f>
        <v>Dross Savings</v>
      </c>
      <c r="C1548" s="455" t="str">
        <f t="shared" si="49"/>
        <v>5051510520</v>
      </c>
      <c r="D1548" s="455" t="e">
        <f>VLOOKUP(G1548,Table!$G$3:$H$21,2,FALSE)</f>
        <v>#N/A</v>
      </c>
      <c r="E1548" s="452" t="s">
        <v>902</v>
      </c>
      <c r="F1548" s="452" t="s">
        <v>1941</v>
      </c>
      <c r="G1548" s="452" t="s">
        <v>1874</v>
      </c>
      <c r="H1548" s="452" t="s">
        <v>1875</v>
      </c>
      <c r="I1548" s="453" t="s">
        <v>844</v>
      </c>
      <c r="J1548" s="453">
        <v>-6080.81</v>
      </c>
      <c r="K1548" s="461">
        <v>-2209.67</v>
      </c>
      <c r="L1548" s="461">
        <v>-1345.85</v>
      </c>
      <c r="M1548" s="461">
        <v>-2525.29</v>
      </c>
      <c r="N1548" s="461">
        <v>0</v>
      </c>
      <c r="O1548" s="461">
        <v>0</v>
      </c>
      <c r="P1548" s="461">
        <v>0</v>
      </c>
      <c r="Q1548" s="461">
        <v>0</v>
      </c>
      <c r="R1548" s="461">
        <v>0</v>
      </c>
      <c r="S1548" s="461">
        <v>0</v>
      </c>
      <c r="T1548" s="461">
        <v>0</v>
      </c>
      <c r="U1548" s="461">
        <v>0</v>
      </c>
      <c r="V1548" s="461">
        <v>0</v>
      </c>
    </row>
    <row r="1549" spans="1:22" s="455" customFormat="1" hidden="1">
      <c r="A1549" s="455" t="str">
        <f t="shared" si="48"/>
        <v>19505111030011</v>
      </c>
      <c r="B1549" s="455" t="str">
        <f>VLOOKUP(LEFT($C$3:$C$2600,3),Table!$D$2:$E$88,2,FALSE)</f>
        <v>Direct cost</v>
      </c>
      <c r="C1549" s="455" t="str">
        <f t="shared" si="49"/>
        <v>5111030011</v>
      </c>
      <c r="D1549" s="455" t="e">
        <f>VLOOKUP(G1549,Table!$G$3:$H$21,2,FALSE)</f>
        <v>#N/A</v>
      </c>
      <c r="E1549" s="452" t="s">
        <v>902</v>
      </c>
      <c r="F1549" s="452" t="s">
        <v>1941</v>
      </c>
      <c r="G1549" s="452" t="s">
        <v>1887</v>
      </c>
      <c r="H1549" s="452" t="s">
        <v>1888</v>
      </c>
      <c r="I1549" s="453" t="s">
        <v>844</v>
      </c>
      <c r="J1549" s="453">
        <v>257883.6</v>
      </c>
      <c r="K1549" s="461">
        <v>93755.98</v>
      </c>
      <c r="L1549" s="461">
        <v>58028.34</v>
      </c>
      <c r="M1549" s="461">
        <v>106099.28</v>
      </c>
      <c r="N1549" s="461">
        <v>0</v>
      </c>
      <c r="O1549" s="461">
        <v>0</v>
      </c>
      <c r="P1549" s="461">
        <v>0</v>
      </c>
      <c r="Q1549" s="461">
        <v>0</v>
      </c>
      <c r="R1549" s="461">
        <v>0</v>
      </c>
      <c r="S1549" s="461">
        <v>0</v>
      </c>
      <c r="T1549" s="461">
        <v>0</v>
      </c>
      <c r="U1549" s="461">
        <v>0</v>
      </c>
      <c r="V1549" s="461">
        <v>0</v>
      </c>
    </row>
    <row r="1550" spans="1:22" s="455" customFormat="1" hidden="1">
      <c r="A1550" s="455" t="str">
        <f t="shared" si="48"/>
        <v>19505111510311</v>
      </c>
      <c r="B1550" s="455" t="str">
        <f>VLOOKUP(LEFT($C$3:$C$2600,3),Table!$D$2:$E$88,2,FALSE)</f>
        <v>Direct cost</v>
      </c>
      <c r="C1550" s="455" t="str">
        <f t="shared" si="49"/>
        <v>5111510311</v>
      </c>
      <c r="D1550" s="455" t="e">
        <f>VLOOKUP(G1550,Table!$G$3:$H$21,2,FALSE)</f>
        <v>#N/A</v>
      </c>
      <c r="E1550" s="452" t="s">
        <v>902</v>
      </c>
      <c r="F1550" s="452" t="s">
        <v>1941</v>
      </c>
      <c r="G1550" s="452" t="s">
        <v>1958</v>
      </c>
      <c r="H1550" s="452" t="s">
        <v>1959</v>
      </c>
      <c r="I1550" s="453" t="s">
        <v>844</v>
      </c>
      <c r="J1550" s="453">
        <v>2458530</v>
      </c>
      <c r="K1550" s="461">
        <v>849498</v>
      </c>
      <c r="L1550" s="461">
        <v>820578</v>
      </c>
      <c r="M1550" s="461">
        <v>788454</v>
      </c>
      <c r="N1550" s="461">
        <v>0</v>
      </c>
      <c r="O1550" s="461">
        <v>0</v>
      </c>
      <c r="P1550" s="461">
        <v>0</v>
      </c>
      <c r="Q1550" s="461">
        <v>0</v>
      </c>
      <c r="R1550" s="461">
        <v>0</v>
      </c>
      <c r="S1550" s="461">
        <v>0</v>
      </c>
      <c r="T1550" s="461">
        <v>0</v>
      </c>
      <c r="U1550" s="461">
        <v>0</v>
      </c>
      <c r="V1550" s="461">
        <v>0</v>
      </c>
    </row>
    <row r="1551" spans="1:22" s="455" customFormat="1" hidden="1">
      <c r="A1551" s="455" t="str">
        <f t="shared" si="48"/>
        <v>19505111510520</v>
      </c>
      <c r="B1551" s="455" t="str">
        <f>VLOOKUP(LEFT($C$3:$C$2600,3),Table!$D$2:$E$88,2,FALSE)</f>
        <v>Direct cost</v>
      </c>
      <c r="C1551" s="455" t="str">
        <f t="shared" si="49"/>
        <v>5111510520</v>
      </c>
      <c r="D1551" s="455" t="e">
        <f>VLOOKUP(G1551,Table!$G$3:$H$21,2,FALSE)</f>
        <v>#N/A</v>
      </c>
      <c r="E1551" s="452" t="s">
        <v>902</v>
      </c>
      <c r="F1551" s="452" t="s">
        <v>1941</v>
      </c>
      <c r="G1551" s="452" t="s">
        <v>1895</v>
      </c>
      <c r="H1551" s="452" t="s">
        <v>1896</v>
      </c>
      <c r="I1551" s="453" t="s">
        <v>844</v>
      </c>
      <c r="J1551" s="453">
        <v>77224.23</v>
      </c>
      <c r="K1551" s="461">
        <v>24351.08</v>
      </c>
      <c r="L1551" s="461">
        <v>26325.31</v>
      </c>
      <c r="M1551" s="461">
        <v>26547.84</v>
      </c>
      <c r="N1551" s="461">
        <v>0</v>
      </c>
      <c r="O1551" s="461">
        <v>0</v>
      </c>
      <c r="P1551" s="461">
        <v>0</v>
      </c>
      <c r="Q1551" s="461">
        <v>0</v>
      </c>
      <c r="R1551" s="461">
        <v>0</v>
      </c>
      <c r="S1551" s="461">
        <v>0</v>
      </c>
      <c r="T1551" s="461">
        <v>0</v>
      </c>
      <c r="U1551" s="461">
        <v>0</v>
      </c>
      <c r="V1551" s="461">
        <v>0</v>
      </c>
    </row>
    <row r="1552" spans="1:22" s="455" customFormat="1" hidden="1">
      <c r="A1552" s="455" t="str">
        <f t="shared" si="48"/>
        <v>19505111610811</v>
      </c>
      <c r="B1552" s="455" t="str">
        <f>VLOOKUP(LEFT($C$3:$C$2600,3),Table!$D$2:$E$88,2,FALSE)</f>
        <v>Direct cost</v>
      </c>
      <c r="C1552" s="455" t="str">
        <f t="shared" si="49"/>
        <v>5111610811</v>
      </c>
      <c r="D1552" s="455" t="e">
        <f>VLOOKUP(G1552,Table!$G$3:$H$21,2,FALSE)</f>
        <v>#N/A</v>
      </c>
      <c r="E1552" s="452" t="s">
        <v>902</v>
      </c>
      <c r="F1552" s="452" t="s">
        <v>1941</v>
      </c>
      <c r="G1552" s="452" t="s">
        <v>1904</v>
      </c>
      <c r="H1552" s="452" t="s">
        <v>1905</v>
      </c>
      <c r="I1552" s="453" t="s">
        <v>844</v>
      </c>
      <c r="J1552" s="453">
        <v>22863</v>
      </c>
      <c r="K1552" s="461">
        <v>20375</v>
      </c>
      <c r="L1552" s="461">
        <v>2488</v>
      </c>
      <c r="M1552" s="461">
        <v>0</v>
      </c>
      <c r="N1552" s="461">
        <v>0</v>
      </c>
      <c r="O1552" s="461">
        <v>0</v>
      </c>
      <c r="P1552" s="461">
        <v>0</v>
      </c>
      <c r="Q1552" s="461">
        <v>0</v>
      </c>
      <c r="R1552" s="461">
        <v>0</v>
      </c>
      <c r="S1552" s="461">
        <v>0</v>
      </c>
      <c r="T1552" s="461">
        <v>0</v>
      </c>
      <c r="U1552" s="461">
        <v>0</v>
      </c>
      <c r="V1552" s="461">
        <v>0</v>
      </c>
    </row>
    <row r="1553" spans="1:22" s="455" customFormat="1" hidden="1">
      <c r="A1553" s="455" t="str">
        <f t="shared" si="48"/>
        <v>19505111610911</v>
      </c>
      <c r="B1553" s="455" t="str">
        <f>VLOOKUP(LEFT($C$3:$C$2600,3),Table!$D$2:$E$88,2,FALSE)</f>
        <v>Direct cost</v>
      </c>
      <c r="C1553" s="455" t="str">
        <f t="shared" si="49"/>
        <v>5111610911</v>
      </c>
      <c r="D1553" s="455" t="e">
        <f>VLOOKUP(G1553,Table!$G$3:$H$21,2,FALSE)</f>
        <v>#N/A</v>
      </c>
      <c r="E1553" s="452" t="s">
        <v>902</v>
      </c>
      <c r="F1553" s="452" t="s">
        <v>1941</v>
      </c>
      <c r="G1553" s="452" t="s">
        <v>1906</v>
      </c>
      <c r="H1553" s="452" t="s">
        <v>1907</v>
      </c>
      <c r="I1553" s="453" t="s">
        <v>844</v>
      </c>
      <c r="J1553" s="453">
        <v>13889.68</v>
      </c>
      <c r="K1553" s="461">
        <v>0</v>
      </c>
      <c r="L1553" s="461">
        <v>6640.55</v>
      </c>
      <c r="M1553" s="461">
        <v>7249.13</v>
      </c>
      <c r="N1553" s="461">
        <v>0</v>
      </c>
      <c r="O1553" s="461">
        <v>0</v>
      </c>
      <c r="P1553" s="461">
        <v>0</v>
      </c>
      <c r="Q1553" s="461">
        <v>0</v>
      </c>
      <c r="R1553" s="461">
        <v>0</v>
      </c>
      <c r="S1553" s="461">
        <v>0</v>
      </c>
      <c r="T1553" s="461">
        <v>0</v>
      </c>
      <c r="U1553" s="461">
        <v>0</v>
      </c>
      <c r="V1553" s="461">
        <v>0</v>
      </c>
    </row>
    <row r="1554" spans="1:22" s="455" customFormat="1" hidden="1">
      <c r="A1554" s="455" t="str">
        <f t="shared" si="48"/>
        <v>19505111611011</v>
      </c>
      <c r="B1554" s="455" t="str">
        <f>VLOOKUP(LEFT($C$3:$C$2600,3),Table!$D$2:$E$88,2,FALSE)</f>
        <v>Direct cost</v>
      </c>
      <c r="C1554" s="455" t="str">
        <f t="shared" si="49"/>
        <v>5111611011</v>
      </c>
      <c r="D1554" s="455" t="e">
        <f>VLOOKUP(G1554,Table!$G$3:$H$21,2,FALSE)</f>
        <v>#N/A</v>
      </c>
      <c r="E1554" s="452" t="s">
        <v>902</v>
      </c>
      <c r="F1554" s="452" t="s">
        <v>1941</v>
      </c>
      <c r="G1554" s="452" t="s">
        <v>1908</v>
      </c>
      <c r="H1554" s="452" t="s">
        <v>1909</v>
      </c>
      <c r="I1554" s="453" t="s">
        <v>844</v>
      </c>
      <c r="J1554" s="453">
        <v>28001.48</v>
      </c>
      <c r="K1554" s="461">
        <v>28001.48</v>
      </c>
      <c r="L1554" s="461">
        <v>0</v>
      </c>
      <c r="M1554" s="461">
        <v>0</v>
      </c>
      <c r="N1554" s="461">
        <v>0</v>
      </c>
      <c r="O1554" s="461">
        <v>0</v>
      </c>
      <c r="P1554" s="461">
        <v>0</v>
      </c>
      <c r="Q1554" s="461">
        <v>0</v>
      </c>
      <c r="R1554" s="461">
        <v>0</v>
      </c>
      <c r="S1554" s="461">
        <v>0</v>
      </c>
      <c r="T1554" s="461">
        <v>0</v>
      </c>
      <c r="U1554" s="461">
        <v>0</v>
      </c>
      <c r="V1554" s="461">
        <v>0</v>
      </c>
    </row>
    <row r="1555" spans="1:22" s="455" customFormat="1" hidden="1">
      <c r="A1555" s="455" t="str">
        <f t="shared" si="48"/>
        <v>19505121030011</v>
      </c>
      <c r="B1555" s="455" t="str">
        <f>VLOOKUP(LEFT($C$3:$C$2600,3),Table!$D$2:$E$88,2,FALSE)</f>
        <v>Period cost</v>
      </c>
      <c r="C1555" s="455" t="str">
        <f t="shared" si="49"/>
        <v>5121030011</v>
      </c>
      <c r="D1555" s="455" t="e">
        <f>VLOOKUP(G1555,Table!$G$3:$H$21,2,FALSE)</f>
        <v>#N/A</v>
      </c>
      <c r="E1555" s="452" t="s">
        <v>902</v>
      </c>
      <c r="F1555" s="452" t="s">
        <v>1941</v>
      </c>
      <c r="G1555" s="452" t="s">
        <v>1916</v>
      </c>
      <c r="H1555" s="452" t="s">
        <v>1917</v>
      </c>
      <c r="I1555" s="453" t="s">
        <v>844</v>
      </c>
      <c r="J1555" s="453">
        <v>201715.20000000001</v>
      </c>
      <c r="K1555" s="461">
        <v>71217.61</v>
      </c>
      <c r="L1555" s="461">
        <v>46612.41</v>
      </c>
      <c r="M1555" s="461">
        <v>83885.179999999993</v>
      </c>
      <c r="N1555" s="461">
        <v>0</v>
      </c>
      <c r="O1555" s="461">
        <v>0</v>
      </c>
      <c r="P1555" s="461">
        <v>0</v>
      </c>
      <c r="Q1555" s="461">
        <v>0</v>
      </c>
      <c r="R1555" s="461">
        <v>0</v>
      </c>
      <c r="S1555" s="461">
        <v>0</v>
      </c>
      <c r="T1555" s="461">
        <v>0</v>
      </c>
      <c r="U1555" s="461">
        <v>0</v>
      </c>
      <c r="V1555" s="461">
        <v>0</v>
      </c>
    </row>
    <row r="1556" spans="1:22" s="455" customFormat="1" hidden="1">
      <c r="A1556" s="455" t="str">
        <f t="shared" si="48"/>
        <v>19505121510311</v>
      </c>
      <c r="B1556" s="455" t="str">
        <f>VLOOKUP(LEFT($C$3:$C$2600,3),Table!$D$2:$E$88,2,FALSE)</f>
        <v>Period cost</v>
      </c>
      <c r="C1556" s="455" t="str">
        <f t="shared" si="49"/>
        <v>5121510311</v>
      </c>
      <c r="D1556" s="455" t="e">
        <f>VLOOKUP(G1556,Table!$G$3:$H$21,2,FALSE)</f>
        <v>#N/A</v>
      </c>
      <c r="E1556" s="452" t="s">
        <v>902</v>
      </c>
      <c r="F1556" s="452" t="s">
        <v>1941</v>
      </c>
      <c r="G1556" s="452" t="s">
        <v>1960</v>
      </c>
      <c r="H1556" s="452" t="s">
        <v>1961</v>
      </c>
      <c r="I1556" s="453" t="s">
        <v>844</v>
      </c>
      <c r="J1556" s="453">
        <v>2231138</v>
      </c>
      <c r="K1556" s="461">
        <v>688613</v>
      </c>
      <c r="L1556" s="461">
        <v>760885</v>
      </c>
      <c r="M1556" s="461">
        <v>781640</v>
      </c>
      <c r="N1556" s="461">
        <v>0</v>
      </c>
      <c r="O1556" s="461">
        <v>0</v>
      </c>
      <c r="P1556" s="461">
        <v>0</v>
      </c>
      <c r="Q1556" s="461">
        <v>0</v>
      </c>
      <c r="R1556" s="461">
        <v>0</v>
      </c>
      <c r="S1556" s="461">
        <v>0</v>
      </c>
      <c r="T1556" s="461">
        <v>0</v>
      </c>
      <c r="U1556" s="461">
        <v>0</v>
      </c>
      <c r="V1556" s="461">
        <v>0</v>
      </c>
    </row>
    <row r="1557" spans="1:22" s="455" customFormat="1" hidden="1">
      <c r="A1557" s="455" t="str">
        <f t="shared" si="48"/>
        <v>19505121510520</v>
      </c>
      <c r="B1557" s="455" t="str">
        <f>VLOOKUP(LEFT($C$3:$C$2600,3),Table!$D$2:$E$88,2,FALSE)</f>
        <v>Period cost</v>
      </c>
      <c r="C1557" s="455" t="str">
        <f t="shared" si="49"/>
        <v>5121510520</v>
      </c>
      <c r="D1557" s="455" t="e">
        <f>VLOOKUP(G1557,Table!$G$3:$H$21,2,FALSE)</f>
        <v>#N/A</v>
      </c>
      <c r="E1557" s="452" t="s">
        <v>902</v>
      </c>
      <c r="F1557" s="452" t="s">
        <v>1941</v>
      </c>
      <c r="G1557" s="452" t="s">
        <v>1924</v>
      </c>
      <c r="H1557" s="452" t="s">
        <v>1925</v>
      </c>
      <c r="I1557" s="453" t="s">
        <v>844</v>
      </c>
      <c r="J1557" s="453">
        <v>53514.1</v>
      </c>
      <c r="K1557" s="461">
        <v>16107.72</v>
      </c>
      <c r="L1557" s="461">
        <v>17967.16</v>
      </c>
      <c r="M1557" s="461">
        <v>19439.22</v>
      </c>
      <c r="N1557" s="461">
        <v>0</v>
      </c>
      <c r="O1557" s="461">
        <v>0</v>
      </c>
      <c r="P1557" s="461">
        <v>0</v>
      </c>
      <c r="Q1557" s="461">
        <v>0</v>
      </c>
      <c r="R1557" s="461">
        <v>0</v>
      </c>
      <c r="S1557" s="461">
        <v>0</v>
      </c>
      <c r="T1557" s="461">
        <v>0</v>
      </c>
      <c r="U1557" s="461">
        <v>0</v>
      </c>
      <c r="V1557" s="461">
        <v>0</v>
      </c>
    </row>
    <row r="1558" spans="1:22" s="455" customFormat="1" hidden="1">
      <c r="A1558" s="455" t="str">
        <f t="shared" si="48"/>
        <v>19505121610811</v>
      </c>
      <c r="B1558" s="455" t="str">
        <f>VLOOKUP(LEFT($C$3:$C$2600,3),Table!$D$2:$E$88,2,FALSE)</f>
        <v>Period cost</v>
      </c>
      <c r="C1558" s="455" t="str">
        <f t="shared" si="49"/>
        <v>5121610811</v>
      </c>
      <c r="D1558" s="455" t="e">
        <f>VLOOKUP(G1558,Table!$G$3:$H$21,2,FALSE)</f>
        <v>#N/A</v>
      </c>
      <c r="E1558" s="452" t="s">
        <v>902</v>
      </c>
      <c r="F1558" s="452" t="s">
        <v>1941</v>
      </c>
      <c r="G1558" s="452" t="s">
        <v>1933</v>
      </c>
      <c r="H1558" s="452" t="s">
        <v>1934</v>
      </c>
      <c r="I1558" s="453" t="s">
        <v>844</v>
      </c>
      <c r="J1558" s="453">
        <v>19051</v>
      </c>
      <c r="K1558" s="461">
        <v>16978</v>
      </c>
      <c r="L1558" s="461">
        <v>2073</v>
      </c>
      <c r="M1558" s="461">
        <v>0</v>
      </c>
      <c r="N1558" s="461">
        <v>0</v>
      </c>
      <c r="O1558" s="461">
        <v>0</v>
      </c>
      <c r="P1558" s="461">
        <v>0</v>
      </c>
      <c r="Q1558" s="461">
        <v>0</v>
      </c>
      <c r="R1558" s="461">
        <v>0</v>
      </c>
      <c r="S1558" s="461">
        <v>0</v>
      </c>
      <c r="T1558" s="461">
        <v>0</v>
      </c>
      <c r="U1558" s="461">
        <v>0</v>
      </c>
      <c r="V1558" s="461">
        <v>0</v>
      </c>
    </row>
    <row r="1559" spans="1:22" s="455" customFormat="1" hidden="1">
      <c r="A1559" s="455" t="str">
        <f t="shared" si="48"/>
        <v>19505121610911</v>
      </c>
      <c r="B1559" s="455" t="str">
        <f>VLOOKUP(LEFT($C$3:$C$2600,3),Table!$D$2:$E$88,2,FALSE)</f>
        <v>Period cost</v>
      </c>
      <c r="C1559" s="455" t="str">
        <f t="shared" si="49"/>
        <v>5121610911</v>
      </c>
      <c r="D1559" s="455" t="e">
        <f>VLOOKUP(G1559,Table!$G$3:$H$21,2,FALSE)</f>
        <v>#N/A</v>
      </c>
      <c r="E1559" s="452" t="s">
        <v>902</v>
      </c>
      <c r="F1559" s="452" t="s">
        <v>1941</v>
      </c>
      <c r="G1559" s="452" t="s">
        <v>1935</v>
      </c>
      <c r="H1559" s="452" t="s">
        <v>1936</v>
      </c>
      <c r="I1559" s="453" t="s">
        <v>844</v>
      </c>
      <c r="J1559" s="453">
        <v>10061.83</v>
      </c>
      <c r="K1559" s="461">
        <v>0</v>
      </c>
      <c r="L1559" s="461">
        <v>4810.6000000000004</v>
      </c>
      <c r="M1559" s="461">
        <v>5251.23</v>
      </c>
      <c r="N1559" s="461">
        <v>0</v>
      </c>
      <c r="O1559" s="461">
        <v>0</v>
      </c>
      <c r="P1559" s="461">
        <v>0</v>
      </c>
      <c r="Q1559" s="461">
        <v>0</v>
      </c>
      <c r="R1559" s="461">
        <v>0</v>
      </c>
      <c r="S1559" s="461">
        <v>0</v>
      </c>
      <c r="T1559" s="461">
        <v>0</v>
      </c>
      <c r="U1559" s="461">
        <v>0</v>
      </c>
      <c r="V1559" s="461">
        <v>0</v>
      </c>
    </row>
    <row r="1560" spans="1:22" s="455" customFormat="1" hidden="1">
      <c r="A1560" s="455" t="str">
        <f t="shared" si="48"/>
        <v>19505121611011</v>
      </c>
      <c r="B1560" s="455" t="str">
        <f>VLOOKUP(LEFT($C$3:$C$2600,3),Table!$D$2:$E$88,2,FALSE)</f>
        <v>Period cost</v>
      </c>
      <c r="C1560" s="455" t="str">
        <f t="shared" si="49"/>
        <v>5121611011</v>
      </c>
      <c r="D1560" s="455" t="e">
        <f>VLOOKUP(G1560,Table!$G$3:$H$21,2,FALSE)</f>
        <v>#N/A</v>
      </c>
      <c r="E1560" s="452" t="s">
        <v>902</v>
      </c>
      <c r="F1560" s="452" t="s">
        <v>1941</v>
      </c>
      <c r="G1560" s="452" t="s">
        <v>1937</v>
      </c>
      <c r="H1560" s="452" t="s">
        <v>1938</v>
      </c>
      <c r="I1560" s="453" t="s">
        <v>844</v>
      </c>
      <c r="J1560" s="453">
        <v>23293.54</v>
      </c>
      <c r="K1560" s="461">
        <v>23293.54</v>
      </c>
      <c r="L1560" s="461">
        <v>0</v>
      </c>
      <c r="M1560" s="461">
        <v>0</v>
      </c>
      <c r="N1560" s="461">
        <v>0</v>
      </c>
      <c r="O1560" s="461">
        <v>0</v>
      </c>
      <c r="P1560" s="461">
        <v>0</v>
      </c>
      <c r="Q1560" s="461">
        <v>0</v>
      </c>
      <c r="R1560" s="461">
        <v>0</v>
      </c>
      <c r="S1560" s="461">
        <v>0</v>
      </c>
      <c r="T1560" s="461">
        <v>0</v>
      </c>
      <c r="U1560" s="461">
        <v>0</v>
      </c>
      <c r="V1560" s="461">
        <v>0</v>
      </c>
    </row>
    <row r="1561" spans="1:22" s="455" customFormat="1" hidden="1">
      <c r="A1561" s="455" t="str">
        <f t="shared" si="48"/>
        <v>19604001005011</v>
      </c>
      <c r="B1561" s="455" t="str">
        <f>VLOOKUP(LEFT($C$3:$C$2600,3),Table!$D$2:$E$88,2,FALSE)</f>
        <v>3rd Party Revenue</v>
      </c>
      <c r="C1561" s="455" t="str">
        <f t="shared" si="49"/>
        <v>4001005011</v>
      </c>
      <c r="D1561" s="455" t="e">
        <f>VLOOKUP(G1561,Table!$G$3:$H$21,2,FALSE)</f>
        <v>#N/A</v>
      </c>
      <c r="E1561" s="452" t="s">
        <v>902</v>
      </c>
      <c r="F1561" s="452" t="s">
        <v>1962</v>
      </c>
      <c r="G1561" s="452" t="s">
        <v>1656</v>
      </c>
      <c r="H1561" s="452" t="s">
        <v>1657</v>
      </c>
      <c r="I1561" s="453" t="s">
        <v>844</v>
      </c>
      <c r="J1561" s="453">
        <v>-263669.09999999998</v>
      </c>
      <c r="K1561" s="461">
        <v>0</v>
      </c>
      <c r="L1561" s="461">
        <v>-158939.07</v>
      </c>
      <c r="M1561" s="461">
        <v>-73171.38</v>
      </c>
      <c r="N1561" s="461">
        <v>0</v>
      </c>
      <c r="O1561" s="461">
        <v>0</v>
      </c>
      <c r="P1561" s="461">
        <v>0</v>
      </c>
      <c r="Q1561" s="461">
        <v>0</v>
      </c>
      <c r="R1561" s="461">
        <v>0</v>
      </c>
      <c r="S1561" s="461">
        <v>0</v>
      </c>
      <c r="T1561" s="461">
        <v>0</v>
      </c>
      <c r="U1561" s="461">
        <v>0</v>
      </c>
      <c r="V1561" s="461">
        <v>0</v>
      </c>
    </row>
    <row r="1562" spans="1:22" s="455" customFormat="1" hidden="1">
      <c r="A1562" s="455" t="str">
        <f t="shared" si="48"/>
        <v>19604001010211</v>
      </c>
      <c r="B1562" s="455" t="str">
        <f>VLOOKUP(LEFT($C$3:$C$2600,3),Table!$D$2:$E$88,2,FALSE)</f>
        <v>3rd Party Revenue</v>
      </c>
      <c r="C1562" s="455" t="str">
        <f t="shared" si="49"/>
        <v>4001010211</v>
      </c>
      <c r="D1562" s="455" t="e">
        <f>VLOOKUP(G1562,Table!$G$3:$H$21,2,FALSE)</f>
        <v>#N/A</v>
      </c>
      <c r="E1562" s="452" t="s">
        <v>902</v>
      </c>
      <c r="F1562" s="452" t="s">
        <v>1962</v>
      </c>
      <c r="G1562" s="452" t="s">
        <v>1658</v>
      </c>
      <c r="H1562" s="452" t="s">
        <v>1659</v>
      </c>
      <c r="I1562" s="453" t="s">
        <v>844</v>
      </c>
      <c r="J1562" s="453">
        <v>-167192.41</v>
      </c>
      <c r="K1562" s="461">
        <v>-29904</v>
      </c>
      <c r="L1562" s="461">
        <v>-115702.87</v>
      </c>
      <c r="M1562" s="461">
        <v>-21585.54</v>
      </c>
      <c r="N1562" s="461">
        <v>0</v>
      </c>
      <c r="O1562" s="461">
        <v>0</v>
      </c>
      <c r="P1562" s="461">
        <v>0</v>
      </c>
      <c r="Q1562" s="461">
        <v>0</v>
      </c>
      <c r="R1562" s="461">
        <v>0</v>
      </c>
      <c r="S1562" s="461">
        <v>0</v>
      </c>
      <c r="T1562" s="461">
        <v>0</v>
      </c>
      <c r="U1562" s="461">
        <v>0</v>
      </c>
      <c r="V1562" s="461">
        <v>0</v>
      </c>
    </row>
    <row r="1563" spans="1:22" s="455" customFormat="1" hidden="1">
      <c r="A1563" s="455" t="str">
        <f t="shared" si="48"/>
        <v>19604001030011</v>
      </c>
      <c r="B1563" s="455" t="str">
        <f>VLOOKUP(LEFT($C$3:$C$2600,3),Table!$D$2:$E$88,2,FALSE)</f>
        <v>3rd Party Revenue</v>
      </c>
      <c r="C1563" s="455" t="str">
        <f t="shared" si="49"/>
        <v>4001030011</v>
      </c>
      <c r="D1563" s="455" t="e">
        <f>VLOOKUP(G1563,Table!$G$3:$H$21,2,FALSE)</f>
        <v>#N/A</v>
      </c>
      <c r="E1563" s="452" t="s">
        <v>902</v>
      </c>
      <c r="F1563" s="452" t="s">
        <v>1962</v>
      </c>
      <c r="G1563" s="452" t="s">
        <v>1662</v>
      </c>
      <c r="H1563" s="452" t="s">
        <v>1663</v>
      </c>
      <c r="I1563" s="453" t="s">
        <v>844</v>
      </c>
      <c r="J1563" s="453">
        <v>-248287.13</v>
      </c>
      <c r="K1563" s="461">
        <v>0</v>
      </c>
      <c r="L1563" s="461">
        <v>0</v>
      </c>
      <c r="M1563" s="461">
        <v>0</v>
      </c>
      <c r="N1563" s="461">
        <v>0</v>
      </c>
      <c r="O1563" s="461">
        <v>0</v>
      </c>
      <c r="P1563" s="461">
        <v>0</v>
      </c>
      <c r="Q1563" s="461">
        <v>0</v>
      </c>
      <c r="R1563" s="461">
        <v>0</v>
      </c>
      <c r="S1563" s="461">
        <v>0</v>
      </c>
      <c r="T1563" s="461">
        <v>0</v>
      </c>
      <c r="U1563" s="461">
        <v>0</v>
      </c>
      <c r="V1563" s="461">
        <v>0</v>
      </c>
    </row>
    <row r="1564" spans="1:22" s="455" customFormat="1" hidden="1">
      <c r="A1564" s="455" t="str">
        <f t="shared" si="48"/>
        <v>19604001030111</v>
      </c>
      <c r="B1564" s="455" t="str">
        <f>VLOOKUP(LEFT($C$3:$C$2600,3),Table!$D$2:$E$88,2,FALSE)</f>
        <v>3rd Party Revenue</v>
      </c>
      <c r="C1564" s="455" t="str">
        <f t="shared" si="49"/>
        <v>4001030111</v>
      </c>
      <c r="D1564" s="455" t="e">
        <f>VLOOKUP(G1564,Table!$G$3:$H$21,2,FALSE)</f>
        <v>#N/A</v>
      </c>
      <c r="E1564" s="452" t="s">
        <v>902</v>
      </c>
      <c r="F1564" s="452" t="s">
        <v>1962</v>
      </c>
      <c r="G1564" s="452" t="s">
        <v>1664</v>
      </c>
      <c r="H1564" s="452" t="s">
        <v>1665</v>
      </c>
      <c r="I1564" s="453" t="s">
        <v>844</v>
      </c>
      <c r="J1564" s="453">
        <v>-61358.31</v>
      </c>
      <c r="K1564" s="461">
        <v>0</v>
      </c>
      <c r="L1564" s="461">
        <v>-61358.31</v>
      </c>
      <c r="M1564" s="461">
        <v>0</v>
      </c>
      <c r="N1564" s="461">
        <v>0</v>
      </c>
      <c r="O1564" s="461">
        <v>0</v>
      </c>
      <c r="P1564" s="461">
        <v>0</v>
      </c>
      <c r="Q1564" s="461">
        <v>0</v>
      </c>
      <c r="R1564" s="461">
        <v>0</v>
      </c>
      <c r="S1564" s="461">
        <v>0</v>
      </c>
      <c r="T1564" s="461">
        <v>0</v>
      </c>
      <c r="U1564" s="461">
        <v>0</v>
      </c>
      <c r="V1564" s="461">
        <v>0</v>
      </c>
    </row>
    <row r="1565" spans="1:22" s="455" customFormat="1" hidden="1">
      <c r="A1565" s="455" t="str">
        <f t="shared" si="48"/>
        <v>19604001610211</v>
      </c>
      <c r="B1565" s="455" t="str">
        <f>VLOOKUP(LEFT($C$3:$C$2600,3),Table!$D$2:$E$88,2,FALSE)</f>
        <v>3rd Party Revenue</v>
      </c>
      <c r="C1565" s="455" t="str">
        <f t="shared" si="49"/>
        <v>4001610211</v>
      </c>
      <c r="D1565" s="455" t="e">
        <f>VLOOKUP(G1565,Table!$G$3:$H$21,2,FALSE)</f>
        <v>#N/A</v>
      </c>
      <c r="E1565" s="452" t="s">
        <v>902</v>
      </c>
      <c r="F1565" s="452" t="s">
        <v>1962</v>
      </c>
      <c r="G1565" s="452" t="s">
        <v>1678</v>
      </c>
      <c r="H1565" s="452" t="s">
        <v>1679</v>
      </c>
      <c r="I1565" s="453" t="s">
        <v>844</v>
      </c>
      <c r="J1565" s="453">
        <v>-309337.71999999997</v>
      </c>
      <c r="K1565" s="461">
        <v>-63987.72</v>
      </c>
      <c r="L1565" s="461">
        <v>-124789.82</v>
      </c>
      <c r="M1565" s="461">
        <v>-120560.18</v>
      </c>
      <c r="N1565" s="461">
        <v>0</v>
      </c>
      <c r="O1565" s="461">
        <v>0</v>
      </c>
      <c r="P1565" s="461">
        <v>0</v>
      </c>
      <c r="Q1565" s="461">
        <v>0</v>
      </c>
      <c r="R1565" s="461">
        <v>0</v>
      </c>
      <c r="S1565" s="461">
        <v>0</v>
      </c>
      <c r="T1565" s="461">
        <v>0</v>
      </c>
      <c r="U1565" s="461">
        <v>0</v>
      </c>
      <c r="V1565" s="461">
        <v>0</v>
      </c>
    </row>
    <row r="1566" spans="1:22" s="455" customFormat="1" hidden="1">
      <c r="A1566" s="455" t="str">
        <f t="shared" si="48"/>
        <v>19604041005011</v>
      </c>
      <c r="B1566" s="455" t="str">
        <f>VLOOKUP(LEFT($C$3:$C$2600,3),Table!$D$2:$E$88,2,FALSE)</f>
        <v>Freight</v>
      </c>
      <c r="C1566" s="455" t="str">
        <f t="shared" si="49"/>
        <v>4041005011</v>
      </c>
      <c r="D1566" s="455" t="e">
        <f>VLOOKUP(G1566,Table!$G$3:$H$21,2,FALSE)</f>
        <v>#N/A</v>
      </c>
      <c r="E1566" s="452" t="s">
        <v>902</v>
      </c>
      <c r="F1566" s="452" t="s">
        <v>1962</v>
      </c>
      <c r="G1566" s="452" t="s">
        <v>1716</v>
      </c>
      <c r="H1566" s="452" t="s">
        <v>1717</v>
      </c>
      <c r="I1566" s="453" t="s">
        <v>844</v>
      </c>
      <c r="J1566" s="453">
        <v>2319</v>
      </c>
      <c r="K1566" s="461">
        <v>0</v>
      </c>
      <c r="L1566" s="461">
        <v>1596</v>
      </c>
      <c r="M1566" s="461">
        <v>723</v>
      </c>
      <c r="N1566" s="461">
        <v>0</v>
      </c>
      <c r="O1566" s="461">
        <v>0</v>
      </c>
      <c r="P1566" s="461">
        <v>0</v>
      </c>
      <c r="Q1566" s="461">
        <v>0</v>
      </c>
      <c r="R1566" s="461">
        <v>0</v>
      </c>
      <c r="S1566" s="461">
        <v>0</v>
      </c>
      <c r="T1566" s="461">
        <v>0</v>
      </c>
      <c r="U1566" s="461">
        <v>0</v>
      </c>
      <c r="V1566" s="461">
        <v>0</v>
      </c>
    </row>
    <row r="1567" spans="1:22" s="455" customFormat="1" hidden="1">
      <c r="A1567" s="455" t="str">
        <f t="shared" si="48"/>
        <v>19604041010211</v>
      </c>
      <c r="B1567" s="455" t="str">
        <f>VLOOKUP(LEFT($C$3:$C$2600,3),Table!$D$2:$E$88,2,FALSE)</f>
        <v>Freight</v>
      </c>
      <c r="C1567" s="455" t="str">
        <f t="shared" si="49"/>
        <v>4041010211</v>
      </c>
      <c r="D1567" s="455" t="e">
        <f>VLOOKUP(G1567,Table!$G$3:$H$21,2,FALSE)</f>
        <v>#N/A</v>
      </c>
      <c r="E1567" s="452" t="s">
        <v>902</v>
      </c>
      <c r="F1567" s="452" t="s">
        <v>1962</v>
      </c>
      <c r="G1567" s="452" t="s">
        <v>1718</v>
      </c>
      <c r="H1567" s="452" t="s">
        <v>1719</v>
      </c>
      <c r="I1567" s="453" t="s">
        <v>844</v>
      </c>
      <c r="J1567" s="453">
        <v>1724</v>
      </c>
      <c r="K1567" s="461">
        <v>312</v>
      </c>
      <c r="L1567" s="461">
        <v>1193</v>
      </c>
      <c r="M1567" s="461">
        <v>219</v>
      </c>
      <c r="N1567" s="461">
        <v>0</v>
      </c>
      <c r="O1567" s="461">
        <v>0</v>
      </c>
      <c r="P1567" s="461">
        <v>0</v>
      </c>
      <c r="Q1567" s="461">
        <v>0</v>
      </c>
      <c r="R1567" s="461">
        <v>0</v>
      </c>
      <c r="S1567" s="461">
        <v>0</v>
      </c>
      <c r="T1567" s="461">
        <v>0</v>
      </c>
      <c r="U1567" s="461">
        <v>0</v>
      </c>
      <c r="V1567" s="461">
        <v>0</v>
      </c>
    </row>
    <row r="1568" spans="1:22" s="455" customFormat="1" hidden="1">
      <c r="A1568" s="455" t="str">
        <f t="shared" si="48"/>
        <v>19604041030111</v>
      </c>
      <c r="B1568" s="455" t="str">
        <f>VLOOKUP(LEFT($C$3:$C$2600,3),Table!$D$2:$E$88,2,FALSE)</f>
        <v>Freight</v>
      </c>
      <c r="C1568" s="455" t="str">
        <f t="shared" si="49"/>
        <v>4041030111</v>
      </c>
      <c r="D1568" s="455" t="e">
        <f>VLOOKUP(G1568,Table!$G$3:$H$21,2,FALSE)</f>
        <v>#N/A</v>
      </c>
      <c r="E1568" s="452" t="s">
        <v>902</v>
      </c>
      <c r="F1568" s="452" t="s">
        <v>1962</v>
      </c>
      <c r="G1568" s="452" t="s">
        <v>1724</v>
      </c>
      <c r="H1568" s="452" t="s">
        <v>1725</v>
      </c>
      <c r="I1568" s="453" t="s">
        <v>844</v>
      </c>
      <c r="J1568" s="453">
        <v>513</v>
      </c>
      <c r="K1568" s="461">
        <v>0</v>
      </c>
      <c r="L1568" s="461">
        <v>513</v>
      </c>
      <c r="M1568" s="461">
        <v>0</v>
      </c>
      <c r="N1568" s="461">
        <v>0</v>
      </c>
      <c r="O1568" s="461">
        <v>0</v>
      </c>
      <c r="P1568" s="461">
        <v>0</v>
      </c>
      <c r="Q1568" s="461">
        <v>0</v>
      </c>
      <c r="R1568" s="461">
        <v>0</v>
      </c>
      <c r="S1568" s="461">
        <v>0</v>
      </c>
      <c r="T1568" s="461">
        <v>0</v>
      </c>
      <c r="U1568" s="461">
        <v>0</v>
      </c>
      <c r="V1568" s="461">
        <v>0</v>
      </c>
    </row>
    <row r="1569" spans="1:22" s="455" customFormat="1" hidden="1">
      <c r="A1569" s="455" t="str">
        <f t="shared" si="48"/>
        <v>19604041610211</v>
      </c>
      <c r="B1569" s="455" t="str">
        <f>VLOOKUP(LEFT($C$3:$C$2600,3),Table!$D$2:$E$88,2,FALSE)</f>
        <v>Freight</v>
      </c>
      <c r="C1569" s="455" t="str">
        <f t="shared" si="49"/>
        <v>4041610211</v>
      </c>
      <c r="D1569" s="455" t="e">
        <f>VLOOKUP(G1569,Table!$G$3:$H$21,2,FALSE)</f>
        <v>#N/A</v>
      </c>
      <c r="E1569" s="452" t="s">
        <v>902</v>
      </c>
      <c r="F1569" s="452" t="s">
        <v>1962</v>
      </c>
      <c r="G1569" s="452" t="s">
        <v>1738</v>
      </c>
      <c r="H1569" s="452" t="s">
        <v>1739</v>
      </c>
      <c r="I1569" s="453" t="s">
        <v>844</v>
      </c>
      <c r="J1569" s="453">
        <v>1517</v>
      </c>
      <c r="K1569" s="461">
        <v>319</v>
      </c>
      <c r="L1569" s="461">
        <v>610</v>
      </c>
      <c r="M1569" s="461">
        <v>588</v>
      </c>
      <c r="N1569" s="461">
        <v>0</v>
      </c>
      <c r="O1569" s="461">
        <v>0</v>
      </c>
      <c r="P1569" s="461">
        <v>0</v>
      </c>
      <c r="Q1569" s="461">
        <v>0</v>
      </c>
      <c r="R1569" s="461">
        <v>0</v>
      </c>
      <c r="S1569" s="461">
        <v>0</v>
      </c>
      <c r="T1569" s="461">
        <v>0</v>
      </c>
      <c r="U1569" s="461">
        <v>0</v>
      </c>
      <c r="V1569" s="461">
        <v>0</v>
      </c>
    </row>
    <row r="1570" spans="1:22" s="455" customFormat="1" hidden="1">
      <c r="A1570" s="455" t="str">
        <f t="shared" si="48"/>
        <v>19605011005011</v>
      </c>
      <c r="B1570" s="455" t="str">
        <f>VLOOKUP(LEFT($C$3:$C$2600,3),Table!$D$2:$E$88,2,FALSE)</f>
        <v>3rd Party Contracted Metal</v>
      </c>
      <c r="C1570" s="455" t="str">
        <f t="shared" si="49"/>
        <v>5011005011</v>
      </c>
      <c r="D1570" s="455" t="e">
        <f>VLOOKUP(G1570,Table!$G$3:$H$21,2,FALSE)</f>
        <v>#N/A</v>
      </c>
      <c r="E1570" s="452" t="s">
        <v>902</v>
      </c>
      <c r="F1570" s="452" t="s">
        <v>1962</v>
      </c>
      <c r="G1570" s="452" t="s">
        <v>1779</v>
      </c>
      <c r="H1570" s="452" t="s">
        <v>1780</v>
      </c>
      <c r="I1570" s="453" t="s">
        <v>844</v>
      </c>
      <c r="J1570" s="453">
        <v>185816.65</v>
      </c>
      <c r="K1570" s="461">
        <v>0</v>
      </c>
      <c r="L1570" s="461">
        <v>127658.04</v>
      </c>
      <c r="M1570" s="461">
        <v>58158.61</v>
      </c>
      <c r="N1570" s="461">
        <v>0</v>
      </c>
      <c r="O1570" s="461">
        <v>0</v>
      </c>
      <c r="P1570" s="461">
        <v>0</v>
      </c>
      <c r="Q1570" s="461">
        <v>0</v>
      </c>
      <c r="R1570" s="461">
        <v>0</v>
      </c>
      <c r="S1570" s="461">
        <v>0</v>
      </c>
      <c r="T1570" s="461">
        <v>0</v>
      </c>
      <c r="U1570" s="461">
        <v>0</v>
      </c>
      <c r="V1570" s="461">
        <v>0</v>
      </c>
    </row>
    <row r="1571" spans="1:22" s="455" customFormat="1" hidden="1">
      <c r="A1571" s="455" t="str">
        <f t="shared" si="48"/>
        <v>19605011010211</v>
      </c>
      <c r="B1571" s="455" t="str">
        <f>VLOOKUP(LEFT($C$3:$C$2600,3),Table!$D$2:$E$88,2,FALSE)</f>
        <v>3rd Party Contracted Metal</v>
      </c>
      <c r="C1571" s="455" t="str">
        <f t="shared" si="49"/>
        <v>5011010211</v>
      </c>
      <c r="D1571" s="455" t="e">
        <f>VLOOKUP(G1571,Table!$G$3:$H$21,2,FALSE)</f>
        <v>#N/A</v>
      </c>
      <c r="E1571" s="452" t="s">
        <v>902</v>
      </c>
      <c r="F1571" s="452" t="s">
        <v>1962</v>
      </c>
      <c r="G1571" s="452" t="s">
        <v>1781</v>
      </c>
      <c r="H1571" s="452" t="s">
        <v>1782</v>
      </c>
      <c r="I1571" s="453" t="s">
        <v>844</v>
      </c>
      <c r="J1571" s="453">
        <v>137979.42000000001</v>
      </c>
      <c r="K1571" s="461">
        <v>24839.06</v>
      </c>
      <c r="L1571" s="461">
        <v>95501.42</v>
      </c>
      <c r="M1571" s="461">
        <v>17638.939999999999</v>
      </c>
      <c r="N1571" s="461">
        <v>0</v>
      </c>
      <c r="O1571" s="461">
        <v>0</v>
      </c>
      <c r="P1571" s="461">
        <v>0</v>
      </c>
      <c r="Q1571" s="461">
        <v>0</v>
      </c>
      <c r="R1571" s="461">
        <v>0</v>
      </c>
      <c r="S1571" s="461">
        <v>0</v>
      </c>
      <c r="T1571" s="461">
        <v>0</v>
      </c>
      <c r="U1571" s="461">
        <v>0</v>
      </c>
      <c r="V1571" s="461">
        <v>0</v>
      </c>
    </row>
    <row r="1572" spans="1:22" s="455" customFormat="1" hidden="1">
      <c r="A1572" s="455" t="str">
        <f t="shared" si="48"/>
        <v>19605011030011</v>
      </c>
      <c r="B1572" s="455" t="str">
        <f>VLOOKUP(LEFT($C$3:$C$2600,3),Table!$D$2:$E$88,2,FALSE)</f>
        <v>3rd Party Contracted Metal</v>
      </c>
      <c r="C1572" s="455" t="str">
        <f t="shared" si="49"/>
        <v>5011030011</v>
      </c>
      <c r="D1572" s="455" t="e">
        <f>VLOOKUP(G1572,Table!$G$3:$H$21,2,FALSE)</f>
        <v>#N/A</v>
      </c>
      <c r="E1572" s="452" t="s">
        <v>902</v>
      </c>
      <c r="F1572" s="452" t="s">
        <v>1962</v>
      </c>
      <c r="G1572" s="452" t="s">
        <v>1785</v>
      </c>
      <c r="H1572" s="452" t="s">
        <v>1786</v>
      </c>
      <c r="I1572" s="453" t="s">
        <v>844</v>
      </c>
      <c r="J1572" s="453">
        <v>41066.400000000001</v>
      </c>
      <c r="K1572" s="461">
        <v>0</v>
      </c>
      <c r="L1572" s="461">
        <v>41066.400000000001</v>
      </c>
      <c r="M1572" s="461">
        <v>0</v>
      </c>
      <c r="N1572" s="461">
        <v>0</v>
      </c>
      <c r="O1572" s="461">
        <v>0</v>
      </c>
      <c r="P1572" s="461">
        <v>0</v>
      </c>
      <c r="Q1572" s="461">
        <v>0</v>
      </c>
      <c r="R1572" s="461">
        <v>0</v>
      </c>
      <c r="S1572" s="461">
        <v>0</v>
      </c>
      <c r="T1572" s="461">
        <v>0</v>
      </c>
      <c r="U1572" s="461">
        <v>0</v>
      </c>
      <c r="V1572" s="461">
        <v>0</v>
      </c>
    </row>
    <row r="1573" spans="1:22" s="455" customFormat="1" hidden="1">
      <c r="A1573" s="455" t="str">
        <f t="shared" si="48"/>
        <v>19605011610211</v>
      </c>
      <c r="B1573" s="455" t="str">
        <f>VLOOKUP(LEFT($C$3:$C$2600,3),Table!$D$2:$E$88,2,FALSE)</f>
        <v>3rd Party Contracted Metal</v>
      </c>
      <c r="C1573" s="455" t="str">
        <f t="shared" si="49"/>
        <v>5011610211</v>
      </c>
      <c r="D1573" s="455" t="e">
        <f>VLOOKUP(G1573,Table!$G$3:$H$21,2,FALSE)</f>
        <v>#N/A</v>
      </c>
      <c r="E1573" s="452" t="s">
        <v>902</v>
      </c>
      <c r="F1573" s="452" t="s">
        <v>1962</v>
      </c>
      <c r="G1573" s="452" t="s">
        <v>1797</v>
      </c>
      <c r="H1573" s="452" t="s">
        <v>1798</v>
      </c>
      <c r="I1573" s="453" t="s">
        <v>844</v>
      </c>
      <c r="J1573" s="453">
        <v>121613.4</v>
      </c>
      <c r="K1573" s="461">
        <v>25461.06</v>
      </c>
      <c r="L1573" s="461">
        <v>48887.39</v>
      </c>
      <c r="M1573" s="461">
        <v>47264.95</v>
      </c>
      <c r="N1573" s="461">
        <v>0</v>
      </c>
      <c r="O1573" s="461">
        <v>0</v>
      </c>
      <c r="P1573" s="461">
        <v>0</v>
      </c>
      <c r="Q1573" s="461">
        <v>0</v>
      </c>
      <c r="R1573" s="461">
        <v>0</v>
      </c>
      <c r="S1573" s="461">
        <v>0</v>
      </c>
      <c r="T1573" s="461">
        <v>0</v>
      </c>
      <c r="U1573" s="461">
        <v>0</v>
      </c>
      <c r="V1573" s="461">
        <v>0</v>
      </c>
    </row>
    <row r="1574" spans="1:22" s="455" customFormat="1" hidden="1">
      <c r="A1574" s="455" t="str">
        <f t="shared" si="48"/>
        <v>19605021010211</v>
      </c>
      <c r="B1574" s="455" t="str">
        <f>VLOOKUP(LEFT($C$3:$C$2600,3),Table!$D$2:$E$88,2,FALSE)</f>
        <v>3rd Party Contracted Metal</v>
      </c>
      <c r="C1574" s="455" t="str">
        <f t="shared" si="49"/>
        <v>5021010211</v>
      </c>
      <c r="D1574" s="455" t="e">
        <f>VLOOKUP(G1574,Table!$G$3:$H$21,2,FALSE)</f>
        <v>#N/A</v>
      </c>
      <c r="E1574" s="452" t="s">
        <v>902</v>
      </c>
      <c r="F1574" s="452" t="s">
        <v>1962</v>
      </c>
      <c r="G1574" s="452" t="s">
        <v>2582</v>
      </c>
      <c r="H1574" s="452" t="s">
        <v>2583</v>
      </c>
      <c r="I1574" s="453" t="s">
        <v>844</v>
      </c>
      <c r="J1574" s="453">
        <v>34.020000000000003</v>
      </c>
      <c r="K1574" s="461">
        <v>0</v>
      </c>
      <c r="L1574" s="461">
        <v>0</v>
      </c>
      <c r="M1574" s="461">
        <v>34.020000000000003</v>
      </c>
      <c r="N1574" s="461">
        <v>0</v>
      </c>
      <c r="O1574" s="461">
        <v>0</v>
      </c>
      <c r="P1574" s="461">
        <v>0</v>
      </c>
      <c r="Q1574" s="461">
        <v>0</v>
      </c>
      <c r="R1574" s="461">
        <v>0</v>
      </c>
      <c r="S1574" s="461">
        <v>0</v>
      </c>
      <c r="T1574" s="461">
        <v>0</v>
      </c>
      <c r="U1574" s="461">
        <v>0</v>
      </c>
      <c r="V1574" s="461">
        <v>0</v>
      </c>
    </row>
    <row r="1575" spans="1:22" s="455" customFormat="1" hidden="1">
      <c r="A1575" s="455" t="str">
        <f t="shared" si="48"/>
        <v>19605021030011</v>
      </c>
      <c r="B1575" s="455" t="str">
        <f>VLOOKUP(LEFT($C$3:$C$2600,3),Table!$D$2:$E$88,2,FALSE)</f>
        <v>3rd Party Contracted Metal</v>
      </c>
      <c r="C1575" s="455" t="str">
        <f t="shared" si="49"/>
        <v>5021030011</v>
      </c>
      <c r="D1575" s="455" t="e">
        <f>VLOOKUP(G1575,Table!$G$3:$H$21,2,FALSE)</f>
        <v>#N/A</v>
      </c>
      <c r="E1575" s="452" t="s">
        <v>902</v>
      </c>
      <c r="F1575" s="452" t="s">
        <v>1962</v>
      </c>
      <c r="G1575" s="452" t="s">
        <v>2584</v>
      </c>
      <c r="H1575" s="452" t="s">
        <v>2585</v>
      </c>
      <c r="I1575" s="453" t="s">
        <v>844</v>
      </c>
      <c r="J1575" s="453">
        <v>42.7</v>
      </c>
      <c r="K1575" s="461">
        <v>0</v>
      </c>
      <c r="L1575" s="461">
        <v>42.7</v>
      </c>
      <c r="M1575" s="461">
        <v>0</v>
      </c>
      <c r="N1575" s="461">
        <v>0</v>
      </c>
      <c r="O1575" s="461">
        <v>0</v>
      </c>
      <c r="P1575" s="461">
        <v>0</v>
      </c>
      <c r="Q1575" s="461">
        <v>0</v>
      </c>
      <c r="R1575" s="461">
        <v>0</v>
      </c>
      <c r="S1575" s="461">
        <v>0</v>
      </c>
      <c r="T1575" s="461">
        <v>0</v>
      </c>
      <c r="U1575" s="461">
        <v>0</v>
      </c>
      <c r="V1575" s="461">
        <v>0</v>
      </c>
    </row>
    <row r="1576" spans="1:22" s="455" customFormat="1" hidden="1">
      <c r="A1576" s="455" t="str">
        <f t="shared" si="48"/>
        <v>19605021610211</v>
      </c>
      <c r="B1576" s="455" t="str">
        <f>VLOOKUP(LEFT($C$3:$C$2600,3),Table!$D$2:$E$88,2,FALSE)</f>
        <v>3rd Party Contracted Metal</v>
      </c>
      <c r="C1576" s="455" t="str">
        <f t="shared" si="49"/>
        <v>5021610211</v>
      </c>
      <c r="D1576" s="455" t="e">
        <f>VLOOKUP(G1576,Table!$G$3:$H$21,2,FALSE)</f>
        <v>#N/A</v>
      </c>
      <c r="E1576" s="452" t="s">
        <v>902</v>
      </c>
      <c r="F1576" s="452" t="s">
        <v>1962</v>
      </c>
      <c r="G1576" s="452" t="s">
        <v>2586</v>
      </c>
      <c r="H1576" s="452" t="s">
        <v>2587</v>
      </c>
      <c r="I1576" s="453" t="s">
        <v>844</v>
      </c>
      <c r="J1576" s="453">
        <v>282.87</v>
      </c>
      <c r="K1576" s="461">
        <v>0</v>
      </c>
      <c r="L1576" s="461">
        <v>0</v>
      </c>
      <c r="M1576" s="461">
        <v>282.87</v>
      </c>
      <c r="N1576" s="461">
        <v>0</v>
      </c>
      <c r="O1576" s="461">
        <v>0</v>
      </c>
      <c r="P1576" s="461">
        <v>0</v>
      </c>
      <c r="Q1576" s="461">
        <v>0</v>
      </c>
      <c r="R1576" s="461">
        <v>0</v>
      </c>
      <c r="S1576" s="461">
        <v>0</v>
      </c>
      <c r="T1576" s="461">
        <v>0</v>
      </c>
      <c r="U1576" s="461">
        <v>0</v>
      </c>
      <c r="V1576" s="461">
        <v>0</v>
      </c>
    </row>
    <row r="1577" spans="1:22" s="455" customFormat="1" hidden="1">
      <c r="A1577" s="455" t="str">
        <f t="shared" si="48"/>
        <v>19605031005011</v>
      </c>
      <c r="B1577" s="455" t="str">
        <f>VLOOKUP(LEFT($C$3:$C$2600,3),Table!$D$2:$E$88,2,FALSE)</f>
        <v>Melt Loss</v>
      </c>
      <c r="C1577" s="455" t="str">
        <f t="shared" si="49"/>
        <v>5031005011</v>
      </c>
      <c r="D1577" s="455" t="e">
        <f>VLOOKUP(G1577,Table!$G$3:$H$21,2,FALSE)</f>
        <v>#N/A</v>
      </c>
      <c r="E1577" s="452" t="s">
        <v>902</v>
      </c>
      <c r="F1577" s="452" t="s">
        <v>1962</v>
      </c>
      <c r="G1577" s="452" t="s">
        <v>1818</v>
      </c>
      <c r="H1577" s="452" t="s">
        <v>1819</v>
      </c>
      <c r="I1577" s="453" t="s">
        <v>844</v>
      </c>
      <c r="J1577" s="453">
        <v>7558.96</v>
      </c>
      <c r="K1577" s="461">
        <v>0</v>
      </c>
      <c r="L1577" s="461">
        <v>5816.52</v>
      </c>
      <c r="M1577" s="461">
        <v>1742.44</v>
      </c>
      <c r="N1577" s="461">
        <v>0</v>
      </c>
      <c r="O1577" s="461">
        <v>0</v>
      </c>
      <c r="P1577" s="461">
        <v>0</v>
      </c>
      <c r="Q1577" s="461">
        <v>0</v>
      </c>
      <c r="R1577" s="461">
        <v>0</v>
      </c>
      <c r="S1577" s="461">
        <v>0</v>
      </c>
      <c r="T1577" s="461">
        <v>0</v>
      </c>
      <c r="U1577" s="461">
        <v>0</v>
      </c>
      <c r="V1577" s="461">
        <v>0</v>
      </c>
    </row>
    <row r="1578" spans="1:22" s="455" customFormat="1" hidden="1">
      <c r="A1578" s="455" t="str">
        <f t="shared" si="48"/>
        <v>19605031010211</v>
      </c>
      <c r="B1578" s="455" t="str">
        <f>VLOOKUP(LEFT($C$3:$C$2600,3),Table!$D$2:$E$88,2,FALSE)</f>
        <v>Melt Loss</v>
      </c>
      <c r="C1578" s="455" t="str">
        <f t="shared" si="49"/>
        <v>5031010211</v>
      </c>
      <c r="D1578" s="455" t="e">
        <f>VLOOKUP(G1578,Table!$G$3:$H$21,2,FALSE)</f>
        <v>#N/A</v>
      </c>
      <c r="E1578" s="452" t="s">
        <v>902</v>
      </c>
      <c r="F1578" s="452" t="s">
        <v>1962</v>
      </c>
      <c r="G1578" s="452" t="s">
        <v>1820</v>
      </c>
      <c r="H1578" s="452" t="s">
        <v>1821</v>
      </c>
      <c r="I1578" s="453" t="s">
        <v>844</v>
      </c>
      <c r="J1578" s="453">
        <v>5581.29</v>
      </c>
      <c r="K1578" s="461">
        <v>701.42</v>
      </c>
      <c r="L1578" s="461">
        <v>4351.3999999999996</v>
      </c>
      <c r="M1578" s="461">
        <v>528.47</v>
      </c>
      <c r="N1578" s="461">
        <v>0</v>
      </c>
      <c r="O1578" s="461">
        <v>0</v>
      </c>
      <c r="P1578" s="461">
        <v>0</v>
      </c>
      <c r="Q1578" s="461">
        <v>0</v>
      </c>
      <c r="R1578" s="461">
        <v>0</v>
      </c>
      <c r="S1578" s="461">
        <v>0</v>
      </c>
      <c r="T1578" s="461">
        <v>0</v>
      </c>
      <c r="U1578" s="461">
        <v>0</v>
      </c>
      <c r="V1578" s="461">
        <v>0</v>
      </c>
    </row>
    <row r="1579" spans="1:22" s="455" customFormat="1" hidden="1">
      <c r="A1579" s="455" t="str">
        <f t="shared" si="48"/>
        <v>19605031030011</v>
      </c>
      <c r="B1579" s="455" t="str">
        <f>VLOOKUP(LEFT($C$3:$C$2600,3),Table!$D$2:$E$88,2,FALSE)</f>
        <v>Melt Loss</v>
      </c>
      <c r="C1579" s="455" t="str">
        <f t="shared" si="49"/>
        <v>5031030011</v>
      </c>
      <c r="D1579" s="455" t="e">
        <f>VLOOKUP(G1579,Table!$G$3:$H$21,2,FALSE)</f>
        <v>#N/A</v>
      </c>
      <c r="E1579" s="452" t="s">
        <v>902</v>
      </c>
      <c r="F1579" s="452" t="s">
        <v>1962</v>
      </c>
      <c r="G1579" s="452" t="s">
        <v>1824</v>
      </c>
      <c r="H1579" s="452" t="s">
        <v>1825</v>
      </c>
      <c r="I1579" s="453" t="s">
        <v>844</v>
      </c>
      <c r="J1579" s="453">
        <v>1871.15</v>
      </c>
      <c r="K1579" s="461">
        <v>0</v>
      </c>
      <c r="L1579" s="461">
        <v>1871.15</v>
      </c>
      <c r="M1579" s="461">
        <v>0</v>
      </c>
      <c r="N1579" s="461">
        <v>0</v>
      </c>
      <c r="O1579" s="461">
        <v>0</v>
      </c>
      <c r="P1579" s="461">
        <v>0</v>
      </c>
      <c r="Q1579" s="461">
        <v>0</v>
      </c>
      <c r="R1579" s="461">
        <v>0</v>
      </c>
      <c r="S1579" s="461">
        <v>0</v>
      </c>
      <c r="T1579" s="461">
        <v>0</v>
      </c>
      <c r="U1579" s="461">
        <v>0</v>
      </c>
      <c r="V1579" s="461">
        <v>0</v>
      </c>
    </row>
    <row r="1580" spans="1:22" s="455" customFormat="1" hidden="1">
      <c r="A1580" s="455" t="str">
        <f t="shared" si="48"/>
        <v>19605031610211</v>
      </c>
      <c r="B1580" s="455" t="str">
        <f>VLOOKUP(LEFT($C$3:$C$2600,3),Table!$D$2:$E$88,2,FALSE)</f>
        <v>Melt Loss</v>
      </c>
      <c r="C1580" s="455" t="str">
        <f t="shared" si="49"/>
        <v>5031610211</v>
      </c>
      <c r="D1580" s="455" t="e">
        <f>VLOOKUP(G1580,Table!$G$3:$H$21,2,FALSE)</f>
        <v>#N/A</v>
      </c>
      <c r="E1580" s="452" t="s">
        <v>902</v>
      </c>
      <c r="F1580" s="452" t="s">
        <v>1962</v>
      </c>
      <c r="G1580" s="452" t="s">
        <v>1836</v>
      </c>
      <c r="H1580" s="452" t="s">
        <v>1837</v>
      </c>
      <c r="I1580" s="453" t="s">
        <v>844</v>
      </c>
      <c r="J1580" s="453">
        <v>4362.55</v>
      </c>
      <c r="K1580" s="461">
        <v>718.97</v>
      </c>
      <c r="L1580" s="461">
        <v>2227.58</v>
      </c>
      <c r="M1580" s="461">
        <v>1416</v>
      </c>
      <c r="N1580" s="461">
        <v>0</v>
      </c>
      <c r="O1580" s="461">
        <v>0</v>
      </c>
      <c r="P1580" s="461">
        <v>0</v>
      </c>
      <c r="Q1580" s="461">
        <v>0</v>
      </c>
      <c r="R1580" s="461">
        <v>0</v>
      </c>
      <c r="S1580" s="461">
        <v>0</v>
      </c>
      <c r="T1580" s="461">
        <v>0</v>
      </c>
      <c r="U1580" s="461">
        <v>0</v>
      </c>
      <c r="V1580" s="461">
        <v>0</v>
      </c>
    </row>
    <row r="1581" spans="1:22" s="455" customFormat="1" hidden="1">
      <c r="A1581" s="455" t="str">
        <f t="shared" si="48"/>
        <v>19605041005011</v>
      </c>
      <c r="B1581" s="455" t="str">
        <f>VLOOKUP(LEFT($C$3:$C$2600,3),Table!$D$2:$E$88,2,FALSE)</f>
        <v>3rd Party Contracted Metal</v>
      </c>
      <c r="C1581" s="455" t="str">
        <f t="shared" si="49"/>
        <v>5041005011</v>
      </c>
      <c r="D1581" s="455" t="e">
        <f>VLOOKUP(G1581,Table!$G$3:$H$21,2,FALSE)</f>
        <v>#N/A</v>
      </c>
      <c r="E1581" s="452" t="s">
        <v>902</v>
      </c>
      <c r="F1581" s="452" t="s">
        <v>1962</v>
      </c>
      <c r="G1581" s="452" t="s">
        <v>1839</v>
      </c>
      <c r="H1581" s="452" t="s">
        <v>1840</v>
      </c>
      <c r="I1581" s="453" t="s">
        <v>844</v>
      </c>
      <c r="J1581" s="453">
        <v>-7686.29</v>
      </c>
      <c r="K1581" s="461">
        <v>0</v>
      </c>
      <c r="L1581" s="461">
        <v>-5452.97</v>
      </c>
      <c r="M1581" s="461">
        <v>-2233.3200000000002</v>
      </c>
      <c r="N1581" s="461">
        <v>0</v>
      </c>
      <c r="O1581" s="461">
        <v>0</v>
      </c>
      <c r="P1581" s="461">
        <v>0</v>
      </c>
      <c r="Q1581" s="461">
        <v>0</v>
      </c>
      <c r="R1581" s="461">
        <v>0</v>
      </c>
      <c r="S1581" s="461">
        <v>0</v>
      </c>
      <c r="T1581" s="461">
        <v>0</v>
      </c>
      <c r="U1581" s="461">
        <v>0</v>
      </c>
      <c r="V1581" s="461">
        <v>0</v>
      </c>
    </row>
    <row r="1582" spans="1:22" s="455" customFormat="1" hidden="1">
      <c r="A1582" s="455" t="str">
        <f t="shared" si="48"/>
        <v>19605041010211</v>
      </c>
      <c r="B1582" s="455" t="str">
        <f>VLOOKUP(LEFT($C$3:$C$2600,3),Table!$D$2:$E$88,2,FALSE)</f>
        <v>3rd Party Contracted Metal</v>
      </c>
      <c r="C1582" s="455" t="str">
        <f t="shared" si="49"/>
        <v>5041010211</v>
      </c>
      <c r="D1582" s="455" t="e">
        <f>VLOOKUP(G1582,Table!$G$3:$H$21,2,FALSE)</f>
        <v>#N/A</v>
      </c>
      <c r="E1582" s="452" t="s">
        <v>902</v>
      </c>
      <c r="F1582" s="452" t="s">
        <v>1962</v>
      </c>
      <c r="G1582" s="452" t="s">
        <v>1841</v>
      </c>
      <c r="H1582" s="452" t="s">
        <v>1842</v>
      </c>
      <c r="I1582" s="453" t="s">
        <v>844</v>
      </c>
      <c r="J1582" s="453">
        <v>-6017.51</v>
      </c>
      <c r="K1582" s="461">
        <v>-1260.81</v>
      </c>
      <c r="L1582" s="461">
        <v>-4079.38</v>
      </c>
      <c r="M1582" s="461">
        <v>-677.32</v>
      </c>
      <c r="N1582" s="461">
        <v>0</v>
      </c>
      <c r="O1582" s="461">
        <v>0</v>
      </c>
      <c r="P1582" s="461">
        <v>0</v>
      </c>
      <c r="Q1582" s="461">
        <v>0</v>
      </c>
      <c r="R1582" s="461">
        <v>0</v>
      </c>
      <c r="S1582" s="461">
        <v>0</v>
      </c>
      <c r="T1582" s="461">
        <v>0</v>
      </c>
      <c r="U1582" s="461">
        <v>0</v>
      </c>
      <c r="V1582" s="461">
        <v>0</v>
      </c>
    </row>
    <row r="1583" spans="1:22" s="455" customFormat="1" hidden="1">
      <c r="A1583" s="455" t="str">
        <f t="shared" si="48"/>
        <v>19605041030011</v>
      </c>
      <c r="B1583" s="455" t="str">
        <f>VLOOKUP(LEFT($C$3:$C$2600,3),Table!$D$2:$E$88,2,FALSE)</f>
        <v>3rd Party Contracted Metal</v>
      </c>
      <c r="C1583" s="455" t="str">
        <f t="shared" si="49"/>
        <v>5041030011</v>
      </c>
      <c r="D1583" s="455" t="e">
        <f>VLOOKUP(G1583,Table!$G$3:$H$21,2,FALSE)</f>
        <v>#N/A</v>
      </c>
      <c r="E1583" s="452" t="s">
        <v>902</v>
      </c>
      <c r="F1583" s="452" t="s">
        <v>1962</v>
      </c>
      <c r="G1583" s="452" t="s">
        <v>1845</v>
      </c>
      <c r="H1583" s="452" t="s">
        <v>1846</v>
      </c>
      <c r="I1583" s="453" t="s">
        <v>844</v>
      </c>
      <c r="J1583" s="453">
        <v>-1754.17</v>
      </c>
      <c r="K1583" s="461">
        <v>0</v>
      </c>
      <c r="L1583" s="461">
        <v>-1754.17</v>
      </c>
      <c r="M1583" s="461">
        <v>0</v>
      </c>
      <c r="N1583" s="461">
        <v>0</v>
      </c>
      <c r="O1583" s="461">
        <v>0</v>
      </c>
      <c r="P1583" s="461">
        <v>0</v>
      </c>
      <c r="Q1583" s="461">
        <v>0</v>
      </c>
      <c r="R1583" s="461">
        <v>0</v>
      </c>
      <c r="S1583" s="461">
        <v>0</v>
      </c>
      <c r="T1583" s="461">
        <v>0</v>
      </c>
      <c r="U1583" s="461">
        <v>0</v>
      </c>
      <c r="V1583" s="461">
        <v>0</v>
      </c>
    </row>
    <row r="1584" spans="1:22" s="455" customFormat="1" hidden="1">
      <c r="A1584" s="455" t="str">
        <f t="shared" si="48"/>
        <v>19605041610211</v>
      </c>
      <c r="B1584" s="455" t="str">
        <f>VLOOKUP(LEFT($C$3:$C$2600,3),Table!$D$2:$E$88,2,FALSE)</f>
        <v>3rd Party Contracted Metal</v>
      </c>
      <c r="C1584" s="455" t="str">
        <f t="shared" si="49"/>
        <v>5041610211</v>
      </c>
      <c r="D1584" s="455" t="e">
        <f>VLOOKUP(G1584,Table!$G$3:$H$21,2,FALSE)</f>
        <v>#N/A</v>
      </c>
      <c r="E1584" s="452" t="s">
        <v>902</v>
      </c>
      <c r="F1584" s="452" t="s">
        <v>1962</v>
      </c>
      <c r="G1584" s="452" t="s">
        <v>1857</v>
      </c>
      <c r="H1584" s="452" t="s">
        <v>1858</v>
      </c>
      <c r="I1584" s="453" t="s">
        <v>844</v>
      </c>
      <c r="J1584" s="453">
        <v>-5195.5600000000004</v>
      </c>
      <c r="K1584" s="461">
        <v>-1292.3699999999999</v>
      </c>
      <c r="L1584" s="461">
        <v>-2088.2199999999998</v>
      </c>
      <c r="M1584" s="461">
        <v>-1814.97</v>
      </c>
      <c r="N1584" s="461">
        <v>0</v>
      </c>
      <c r="O1584" s="461">
        <v>0</v>
      </c>
      <c r="P1584" s="461">
        <v>0</v>
      </c>
      <c r="Q1584" s="461">
        <v>0</v>
      </c>
      <c r="R1584" s="461">
        <v>0</v>
      </c>
      <c r="S1584" s="461">
        <v>0</v>
      </c>
      <c r="T1584" s="461">
        <v>0</v>
      </c>
      <c r="U1584" s="461">
        <v>0</v>
      </c>
      <c r="V1584" s="461">
        <v>0</v>
      </c>
    </row>
    <row r="1585" spans="1:22" s="455" customFormat="1" hidden="1">
      <c r="A1585" s="455" t="str">
        <f t="shared" si="48"/>
        <v>19605051005011</v>
      </c>
      <c r="B1585" s="455" t="str">
        <f>VLOOKUP(LEFT($C$3:$C$2600,3),Table!$D$2:$E$88,2,FALSE)</f>
        <v>Dross Savings</v>
      </c>
      <c r="C1585" s="455" t="str">
        <f t="shared" si="49"/>
        <v>5051005011</v>
      </c>
      <c r="D1585" s="455" t="e">
        <f>VLOOKUP(G1585,Table!$G$3:$H$21,2,FALSE)</f>
        <v>#N/A</v>
      </c>
      <c r="E1585" s="452" t="s">
        <v>902</v>
      </c>
      <c r="F1585" s="452" t="s">
        <v>1962</v>
      </c>
      <c r="G1585" s="452" t="s">
        <v>1860</v>
      </c>
      <c r="H1585" s="452" t="s">
        <v>1861</v>
      </c>
      <c r="I1585" s="453" t="s">
        <v>844</v>
      </c>
      <c r="J1585" s="453">
        <v>-2097.1799999999998</v>
      </c>
      <c r="K1585" s="461">
        <v>0</v>
      </c>
      <c r="L1585" s="461">
        <v>-1170.99</v>
      </c>
      <c r="M1585" s="461">
        <v>-926.19</v>
      </c>
      <c r="N1585" s="461">
        <v>0</v>
      </c>
      <c r="O1585" s="461">
        <v>0</v>
      </c>
      <c r="P1585" s="461">
        <v>0</v>
      </c>
      <c r="Q1585" s="461">
        <v>0</v>
      </c>
      <c r="R1585" s="461">
        <v>0</v>
      </c>
      <c r="S1585" s="461">
        <v>0</v>
      </c>
      <c r="T1585" s="461">
        <v>0</v>
      </c>
      <c r="U1585" s="461">
        <v>0</v>
      </c>
      <c r="V1585" s="461">
        <v>0</v>
      </c>
    </row>
    <row r="1586" spans="1:22" s="455" customFormat="1" hidden="1">
      <c r="A1586" s="455" t="str">
        <f t="shared" si="48"/>
        <v>19605051010211</v>
      </c>
      <c r="B1586" s="455" t="str">
        <f>VLOOKUP(LEFT($C$3:$C$2600,3),Table!$D$2:$E$88,2,FALSE)</f>
        <v>Dross Savings</v>
      </c>
      <c r="C1586" s="455" t="str">
        <f t="shared" si="49"/>
        <v>5051010211</v>
      </c>
      <c r="D1586" s="455" t="e">
        <f>VLOOKUP(G1586,Table!$G$3:$H$21,2,FALSE)</f>
        <v>#N/A</v>
      </c>
      <c r="E1586" s="452" t="s">
        <v>902</v>
      </c>
      <c r="F1586" s="452" t="s">
        <v>1962</v>
      </c>
      <c r="G1586" s="452" t="s">
        <v>1862</v>
      </c>
      <c r="H1586" s="452" t="s">
        <v>1863</v>
      </c>
      <c r="I1586" s="453" t="s">
        <v>844</v>
      </c>
      <c r="J1586" s="453">
        <v>-1517.71</v>
      </c>
      <c r="K1586" s="461">
        <v>-360.76</v>
      </c>
      <c r="L1586" s="461">
        <v>-876.04</v>
      </c>
      <c r="M1586" s="461">
        <v>-280.91000000000003</v>
      </c>
      <c r="N1586" s="461">
        <v>0</v>
      </c>
      <c r="O1586" s="461">
        <v>0</v>
      </c>
      <c r="P1586" s="461">
        <v>0</v>
      </c>
      <c r="Q1586" s="461">
        <v>0</v>
      </c>
      <c r="R1586" s="461">
        <v>0</v>
      </c>
      <c r="S1586" s="461">
        <v>0</v>
      </c>
      <c r="T1586" s="461">
        <v>0</v>
      </c>
      <c r="U1586" s="461">
        <v>0</v>
      </c>
      <c r="V1586" s="461">
        <v>0</v>
      </c>
    </row>
    <row r="1587" spans="1:22" s="455" customFormat="1" hidden="1">
      <c r="A1587" s="455" t="str">
        <f t="shared" si="48"/>
        <v>19605051030011</v>
      </c>
      <c r="B1587" s="455" t="str">
        <f>VLOOKUP(LEFT($C$3:$C$2600,3),Table!$D$2:$E$88,2,FALSE)</f>
        <v>Dross Savings</v>
      </c>
      <c r="C1587" s="455" t="str">
        <f t="shared" si="49"/>
        <v>5051030011</v>
      </c>
      <c r="D1587" s="455" t="e">
        <f>VLOOKUP(G1587,Table!$G$3:$H$21,2,FALSE)</f>
        <v>#N/A</v>
      </c>
      <c r="E1587" s="452" t="s">
        <v>902</v>
      </c>
      <c r="F1587" s="452" t="s">
        <v>1962</v>
      </c>
      <c r="G1587" s="452" t="s">
        <v>1866</v>
      </c>
      <c r="H1587" s="452" t="s">
        <v>1867</v>
      </c>
      <c r="I1587" s="453" t="s">
        <v>844</v>
      </c>
      <c r="J1587" s="453">
        <v>-376.72</v>
      </c>
      <c r="K1587" s="461">
        <v>0</v>
      </c>
      <c r="L1587" s="461">
        <v>-376.72</v>
      </c>
      <c r="M1587" s="461">
        <v>0</v>
      </c>
      <c r="N1587" s="461">
        <v>0</v>
      </c>
      <c r="O1587" s="461">
        <v>0</v>
      </c>
      <c r="P1587" s="461">
        <v>0</v>
      </c>
      <c r="Q1587" s="461">
        <v>0</v>
      </c>
      <c r="R1587" s="461">
        <v>0</v>
      </c>
      <c r="S1587" s="461">
        <v>0</v>
      </c>
      <c r="T1587" s="461">
        <v>0</v>
      </c>
      <c r="U1587" s="461">
        <v>0</v>
      </c>
      <c r="V1587" s="461">
        <v>0</v>
      </c>
    </row>
    <row r="1588" spans="1:22" s="455" customFormat="1" hidden="1">
      <c r="A1588" s="455" t="str">
        <f t="shared" si="48"/>
        <v>19605051610211</v>
      </c>
      <c r="B1588" s="455" t="str">
        <f>VLOOKUP(LEFT($C$3:$C$2600,3),Table!$D$2:$E$88,2,FALSE)</f>
        <v>Dross Savings</v>
      </c>
      <c r="C1588" s="455" t="str">
        <f t="shared" si="49"/>
        <v>5051610211</v>
      </c>
      <c r="D1588" s="455" t="e">
        <f>VLOOKUP(G1588,Table!$G$3:$H$21,2,FALSE)</f>
        <v>#N/A</v>
      </c>
      <c r="E1588" s="452" t="s">
        <v>902</v>
      </c>
      <c r="F1588" s="452" t="s">
        <v>1962</v>
      </c>
      <c r="G1588" s="452" t="s">
        <v>1878</v>
      </c>
      <c r="H1588" s="452" t="s">
        <v>1879</v>
      </c>
      <c r="I1588" s="453" t="s">
        <v>844</v>
      </c>
      <c r="J1588" s="453">
        <v>-1570.89</v>
      </c>
      <c r="K1588" s="461">
        <v>-369.79</v>
      </c>
      <c r="L1588" s="461">
        <v>-448.45</v>
      </c>
      <c r="M1588" s="461">
        <v>-752.65</v>
      </c>
      <c r="N1588" s="461">
        <v>0</v>
      </c>
      <c r="O1588" s="461">
        <v>0</v>
      </c>
      <c r="P1588" s="461">
        <v>0</v>
      </c>
      <c r="Q1588" s="461">
        <v>0</v>
      </c>
      <c r="R1588" s="461">
        <v>0</v>
      </c>
      <c r="S1588" s="461">
        <v>0</v>
      </c>
      <c r="T1588" s="461">
        <v>0</v>
      </c>
      <c r="U1588" s="461">
        <v>0</v>
      </c>
      <c r="V1588" s="461">
        <v>0</v>
      </c>
    </row>
    <row r="1589" spans="1:22" s="455" customFormat="1" hidden="1">
      <c r="A1589" s="455" t="str">
        <f t="shared" si="48"/>
        <v>19605111005011</v>
      </c>
      <c r="B1589" s="455" t="str">
        <f>VLOOKUP(LEFT($C$3:$C$2600,3),Table!$D$2:$E$88,2,FALSE)</f>
        <v>Direct cost</v>
      </c>
      <c r="C1589" s="455" t="str">
        <f t="shared" si="49"/>
        <v>5111005011</v>
      </c>
      <c r="D1589" s="455" t="e">
        <f>VLOOKUP(G1589,Table!$G$3:$H$21,2,FALSE)</f>
        <v>#N/A</v>
      </c>
      <c r="E1589" s="452" t="s">
        <v>902</v>
      </c>
      <c r="F1589" s="452" t="s">
        <v>1962</v>
      </c>
      <c r="G1589" s="452" t="s">
        <v>1881</v>
      </c>
      <c r="H1589" s="452" t="s">
        <v>1882</v>
      </c>
      <c r="I1589" s="453" t="s">
        <v>844</v>
      </c>
      <c r="J1589" s="453">
        <v>23672.23</v>
      </c>
      <c r="K1589" s="461">
        <v>0</v>
      </c>
      <c r="L1589" s="461">
        <v>15967.94</v>
      </c>
      <c r="M1589" s="461">
        <v>7704.29</v>
      </c>
      <c r="N1589" s="461">
        <v>0</v>
      </c>
      <c r="O1589" s="461">
        <v>0</v>
      </c>
      <c r="P1589" s="461">
        <v>0</v>
      </c>
      <c r="Q1589" s="461">
        <v>0</v>
      </c>
      <c r="R1589" s="461">
        <v>0</v>
      </c>
      <c r="S1589" s="461">
        <v>0</v>
      </c>
      <c r="T1589" s="461">
        <v>0</v>
      </c>
      <c r="U1589" s="461">
        <v>0</v>
      </c>
      <c r="V1589" s="461">
        <v>0</v>
      </c>
    </row>
    <row r="1590" spans="1:22" s="455" customFormat="1" hidden="1">
      <c r="A1590" s="455" t="str">
        <f t="shared" si="48"/>
        <v>19605111010211</v>
      </c>
      <c r="B1590" s="455" t="str">
        <f>VLOOKUP(LEFT($C$3:$C$2600,3),Table!$D$2:$E$88,2,FALSE)</f>
        <v>Direct cost</v>
      </c>
      <c r="C1590" s="455" t="str">
        <f t="shared" si="49"/>
        <v>5111010211</v>
      </c>
      <c r="D1590" s="455" t="e">
        <f>VLOOKUP(G1590,Table!$G$3:$H$21,2,FALSE)</f>
        <v>#N/A</v>
      </c>
      <c r="E1590" s="452" t="s">
        <v>902</v>
      </c>
      <c r="F1590" s="452" t="s">
        <v>1962</v>
      </c>
      <c r="G1590" s="452" t="s">
        <v>1883</v>
      </c>
      <c r="H1590" s="452" t="s">
        <v>1884</v>
      </c>
      <c r="I1590" s="453" t="s">
        <v>844</v>
      </c>
      <c r="J1590" s="453">
        <v>18635.66</v>
      </c>
      <c r="K1590" s="461">
        <v>3003.85</v>
      </c>
      <c r="L1590" s="461">
        <v>13023.12</v>
      </c>
      <c r="M1590" s="461">
        <v>2608.69</v>
      </c>
      <c r="N1590" s="461">
        <v>0</v>
      </c>
      <c r="O1590" s="461">
        <v>0</v>
      </c>
      <c r="P1590" s="461">
        <v>0</v>
      </c>
      <c r="Q1590" s="461">
        <v>0</v>
      </c>
      <c r="R1590" s="461">
        <v>0</v>
      </c>
      <c r="S1590" s="461">
        <v>0</v>
      </c>
      <c r="T1590" s="461">
        <v>0</v>
      </c>
      <c r="U1590" s="461">
        <v>0</v>
      </c>
      <c r="V1590" s="461">
        <v>0</v>
      </c>
    </row>
    <row r="1591" spans="1:22" s="455" customFormat="1" hidden="1">
      <c r="A1591" s="455" t="str">
        <f t="shared" si="48"/>
        <v>19605111030011</v>
      </c>
      <c r="B1591" s="455" t="str">
        <f>VLOOKUP(LEFT($C$3:$C$2600,3),Table!$D$2:$E$88,2,FALSE)</f>
        <v>Direct cost</v>
      </c>
      <c r="C1591" s="455" t="str">
        <f t="shared" si="49"/>
        <v>5111030011</v>
      </c>
      <c r="D1591" s="455" t="e">
        <f>VLOOKUP(G1591,Table!$G$3:$H$21,2,FALSE)</f>
        <v>#N/A</v>
      </c>
      <c r="E1591" s="452" t="s">
        <v>902</v>
      </c>
      <c r="F1591" s="452" t="s">
        <v>1962</v>
      </c>
      <c r="G1591" s="452" t="s">
        <v>1887</v>
      </c>
      <c r="H1591" s="452" t="s">
        <v>1888</v>
      </c>
      <c r="I1591" s="453" t="s">
        <v>844</v>
      </c>
      <c r="J1591" s="453">
        <v>4984.5200000000004</v>
      </c>
      <c r="K1591" s="461">
        <v>0</v>
      </c>
      <c r="L1591" s="461">
        <v>4984.5200000000004</v>
      </c>
      <c r="M1591" s="461">
        <v>0</v>
      </c>
      <c r="N1591" s="461">
        <v>0</v>
      </c>
      <c r="O1591" s="461">
        <v>0</v>
      </c>
      <c r="P1591" s="461">
        <v>0</v>
      </c>
      <c r="Q1591" s="461">
        <v>0</v>
      </c>
      <c r="R1591" s="461">
        <v>0</v>
      </c>
      <c r="S1591" s="461">
        <v>0</v>
      </c>
      <c r="T1591" s="461">
        <v>0</v>
      </c>
      <c r="U1591" s="461">
        <v>0</v>
      </c>
      <c r="V1591" s="461">
        <v>0</v>
      </c>
    </row>
    <row r="1592" spans="1:22" s="455" customFormat="1" hidden="1">
      <c r="A1592" s="455" t="str">
        <f t="shared" si="48"/>
        <v>19605111610211</v>
      </c>
      <c r="B1592" s="455" t="str">
        <f>VLOOKUP(LEFT($C$3:$C$2600,3),Table!$D$2:$E$88,2,FALSE)</f>
        <v>Direct cost</v>
      </c>
      <c r="C1592" s="455" t="str">
        <f t="shared" si="49"/>
        <v>5111610211</v>
      </c>
      <c r="D1592" s="455" t="e">
        <f>VLOOKUP(G1592,Table!$G$3:$H$21,2,FALSE)</f>
        <v>#N/A</v>
      </c>
      <c r="E1592" s="452" t="s">
        <v>902</v>
      </c>
      <c r="F1592" s="452" t="s">
        <v>1962</v>
      </c>
      <c r="G1592" s="452" t="s">
        <v>1899</v>
      </c>
      <c r="H1592" s="452" t="s">
        <v>1900</v>
      </c>
      <c r="I1592" s="453" t="s">
        <v>844</v>
      </c>
      <c r="J1592" s="453">
        <v>71624.479999999996</v>
      </c>
      <c r="K1592" s="461">
        <v>14297.78</v>
      </c>
      <c r="L1592" s="461">
        <v>28614.09</v>
      </c>
      <c r="M1592" s="461">
        <v>28712.61</v>
      </c>
      <c r="N1592" s="461">
        <v>0</v>
      </c>
      <c r="O1592" s="461">
        <v>0</v>
      </c>
      <c r="P1592" s="461">
        <v>0</v>
      </c>
      <c r="Q1592" s="461">
        <v>0</v>
      </c>
      <c r="R1592" s="461">
        <v>0</v>
      </c>
      <c r="S1592" s="461">
        <v>0</v>
      </c>
      <c r="T1592" s="461">
        <v>0</v>
      </c>
      <c r="U1592" s="461">
        <v>0</v>
      </c>
      <c r="V1592" s="461">
        <v>0</v>
      </c>
    </row>
    <row r="1593" spans="1:22" s="455" customFormat="1" hidden="1">
      <c r="A1593" s="455" t="str">
        <f t="shared" si="48"/>
        <v>19605121005011</v>
      </c>
      <c r="B1593" s="455" t="str">
        <f>VLOOKUP(LEFT($C$3:$C$2600,3),Table!$D$2:$E$88,2,FALSE)</f>
        <v>Period cost</v>
      </c>
      <c r="C1593" s="455" t="str">
        <f t="shared" si="49"/>
        <v>5121005011</v>
      </c>
      <c r="D1593" s="455" t="e">
        <f>VLOOKUP(G1593,Table!$G$3:$H$21,2,FALSE)</f>
        <v>#N/A</v>
      </c>
      <c r="E1593" s="452" t="s">
        <v>902</v>
      </c>
      <c r="F1593" s="452" t="s">
        <v>1962</v>
      </c>
      <c r="G1593" s="452" t="s">
        <v>1910</v>
      </c>
      <c r="H1593" s="452" t="s">
        <v>1911</v>
      </c>
      <c r="I1593" s="453" t="s">
        <v>844</v>
      </c>
      <c r="J1593" s="453">
        <v>19138.330000000002</v>
      </c>
      <c r="K1593" s="461">
        <v>0</v>
      </c>
      <c r="L1593" s="461">
        <v>12298.87</v>
      </c>
      <c r="M1593" s="461">
        <v>6839.46</v>
      </c>
      <c r="N1593" s="461">
        <v>0</v>
      </c>
      <c r="O1593" s="461">
        <v>0</v>
      </c>
      <c r="P1593" s="461">
        <v>0</v>
      </c>
      <c r="Q1593" s="461">
        <v>0</v>
      </c>
      <c r="R1593" s="461">
        <v>0</v>
      </c>
      <c r="S1593" s="461">
        <v>0</v>
      </c>
      <c r="T1593" s="461">
        <v>0</v>
      </c>
      <c r="U1593" s="461">
        <v>0</v>
      </c>
      <c r="V1593" s="461">
        <v>0</v>
      </c>
    </row>
    <row r="1594" spans="1:22" s="455" customFormat="1" hidden="1">
      <c r="A1594" s="455" t="str">
        <f t="shared" si="48"/>
        <v>19605121010211</v>
      </c>
      <c r="B1594" s="455" t="str">
        <f>VLOOKUP(LEFT($C$3:$C$2600,3),Table!$D$2:$E$88,2,FALSE)</f>
        <v>Period cost</v>
      </c>
      <c r="C1594" s="455" t="str">
        <f t="shared" si="49"/>
        <v>5121010211</v>
      </c>
      <c r="D1594" s="455" t="e">
        <f>VLOOKUP(G1594,Table!$G$3:$H$21,2,FALSE)</f>
        <v>#N/A</v>
      </c>
      <c r="E1594" s="452" t="s">
        <v>902</v>
      </c>
      <c r="F1594" s="452" t="s">
        <v>1962</v>
      </c>
      <c r="G1594" s="452" t="s">
        <v>1912</v>
      </c>
      <c r="H1594" s="452" t="s">
        <v>1913</v>
      </c>
      <c r="I1594" s="453" t="s">
        <v>844</v>
      </c>
      <c r="J1594" s="453">
        <v>19065.189999999999</v>
      </c>
      <c r="K1594" s="461">
        <v>3330.65</v>
      </c>
      <c r="L1594" s="461">
        <v>12785.46</v>
      </c>
      <c r="M1594" s="461">
        <v>2949.08</v>
      </c>
      <c r="N1594" s="461">
        <v>0</v>
      </c>
      <c r="O1594" s="461">
        <v>0</v>
      </c>
      <c r="P1594" s="461">
        <v>0</v>
      </c>
      <c r="Q1594" s="461">
        <v>0</v>
      </c>
      <c r="R1594" s="461">
        <v>0</v>
      </c>
      <c r="S1594" s="461">
        <v>0</v>
      </c>
      <c r="T1594" s="461">
        <v>0</v>
      </c>
      <c r="U1594" s="461">
        <v>0</v>
      </c>
      <c r="V1594" s="461">
        <v>0</v>
      </c>
    </row>
    <row r="1595" spans="1:22" s="455" customFormat="1" hidden="1">
      <c r="A1595" s="455" t="str">
        <f t="shared" si="48"/>
        <v>19605121030011</v>
      </c>
      <c r="B1595" s="455" t="str">
        <f>VLOOKUP(LEFT($C$3:$C$2600,3),Table!$D$2:$E$88,2,FALSE)</f>
        <v>Period cost</v>
      </c>
      <c r="C1595" s="455" t="str">
        <f t="shared" si="49"/>
        <v>5121030011</v>
      </c>
      <c r="D1595" s="455" t="e">
        <f>VLOOKUP(G1595,Table!$G$3:$H$21,2,FALSE)</f>
        <v>#N/A</v>
      </c>
      <c r="E1595" s="452" t="s">
        <v>902</v>
      </c>
      <c r="F1595" s="452" t="s">
        <v>1962</v>
      </c>
      <c r="G1595" s="452" t="s">
        <v>1916</v>
      </c>
      <c r="H1595" s="452" t="s">
        <v>1917</v>
      </c>
      <c r="I1595" s="453" t="s">
        <v>844</v>
      </c>
      <c r="J1595" s="453">
        <v>4003.91</v>
      </c>
      <c r="K1595" s="461">
        <v>0</v>
      </c>
      <c r="L1595" s="461">
        <v>4003.91</v>
      </c>
      <c r="M1595" s="461">
        <v>0</v>
      </c>
      <c r="N1595" s="461">
        <v>0</v>
      </c>
      <c r="O1595" s="461">
        <v>0</v>
      </c>
      <c r="P1595" s="461">
        <v>0</v>
      </c>
      <c r="Q1595" s="461">
        <v>0</v>
      </c>
      <c r="R1595" s="461">
        <v>0</v>
      </c>
      <c r="S1595" s="461">
        <v>0</v>
      </c>
      <c r="T1595" s="461">
        <v>0</v>
      </c>
      <c r="U1595" s="461">
        <v>0</v>
      </c>
      <c r="V1595" s="461">
        <v>0</v>
      </c>
    </row>
    <row r="1596" spans="1:22" s="455" customFormat="1" hidden="1">
      <c r="A1596" s="455" t="str">
        <f t="shared" si="48"/>
        <v>19605121610211</v>
      </c>
      <c r="B1596" s="455" t="str">
        <f>VLOOKUP(LEFT($C$3:$C$2600,3),Table!$D$2:$E$88,2,FALSE)</f>
        <v>Period cost</v>
      </c>
      <c r="C1596" s="455" t="str">
        <f t="shared" si="49"/>
        <v>5121610211</v>
      </c>
      <c r="D1596" s="455" t="e">
        <f>VLOOKUP(G1596,Table!$G$3:$H$21,2,FALSE)</f>
        <v>#N/A</v>
      </c>
      <c r="E1596" s="452" t="s">
        <v>902</v>
      </c>
      <c r="F1596" s="452" t="s">
        <v>1962</v>
      </c>
      <c r="G1596" s="452" t="s">
        <v>1928</v>
      </c>
      <c r="H1596" s="452" t="s">
        <v>1929</v>
      </c>
      <c r="I1596" s="453" t="s">
        <v>844</v>
      </c>
      <c r="J1596" s="453">
        <v>21506.07</v>
      </c>
      <c r="K1596" s="461">
        <v>3486.08</v>
      </c>
      <c r="L1596" s="461">
        <v>8176.42</v>
      </c>
      <c r="M1596" s="461">
        <v>9843.57</v>
      </c>
      <c r="N1596" s="461">
        <v>0</v>
      </c>
      <c r="O1596" s="461">
        <v>0</v>
      </c>
      <c r="P1596" s="461">
        <v>0</v>
      </c>
      <c r="Q1596" s="461">
        <v>0</v>
      </c>
      <c r="R1596" s="461">
        <v>0</v>
      </c>
      <c r="S1596" s="461">
        <v>0</v>
      </c>
      <c r="T1596" s="461">
        <v>0</v>
      </c>
      <c r="U1596" s="461">
        <v>0</v>
      </c>
      <c r="V1596" s="461">
        <v>0</v>
      </c>
    </row>
    <row r="1597" spans="1:22" s="455" customFormat="1" hidden="1">
      <c r="A1597" s="455" t="str">
        <f t="shared" si="48"/>
        <v>19605304000000</v>
      </c>
      <c r="B1597" s="455" t="str">
        <f>VLOOKUP(LEFT($C$3:$C$2600,3),Table!$D$2:$E$88,2,FALSE)</f>
        <v>Selling &amp; admin expenses</v>
      </c>
      <c r="C1597" s="455" t="str">
        <f t="shared" si="49"/>
        <v>5304000000</v>
      </c>
      <c r="D1597" s="455" t="e">
        <f>VLOOKUP(G1597,Table!$G$3:$H$21,2,FALSE)</f>
        <v>#N/A</v>
      </c>
      <c r="E1597" s="452" t="s">
        <v>902</v>
      </c>
      <c r="F1597" s="452" t="s">
        <v>1962</v>
      </c>
      <c r="G1597" s="452" t="s">
        <v>1963</v>
      </c>
      <c r="H1597" s="452" t="s">
        <v>1964</v>
      </c>
      <c r="I1597" s="453" t="s">
        <v>844</v>
      </c>
      <c r="J1597" s="453">
        <v>-532.07000000000005</v>
      </c>
      <c r="K1597" s="461">
        <v>-1164.81</v>
      </c>
      <c r="L1597" s="461">
        <v>6405.08</v>
      </c>
      <c r="M1597" s="461">
        <v>3605.73</v>
      </c>
      <c r="N1597" s="461">
        <v>0</v>
      </c>
      <c r="O1597" s="461">
        <v>0</v>
      </c>
      <c r="P1597" s="461">
        <v>0</v>
      </c>
      <c r="Q1597" s="461">
        <v>0</v>
      </c>
      <c r="R1597" s="461">
        <v>0</v>
      </c>
      <c r="S1597" s="461">
        <v>0</v>
      </c>
      <c r="T1597" s="461">
        <v>0</v>
      </c>
      <c r="U1597" s="461">
        <v>0</v>
      </c>
      <c r="V1597" s="461">
        <v>0</v>
      </c>
    </row>
    <row r="1598" spans="1:22" s="455" customFormat="1" hidden="1">
      <c r="A1598" s="455" t="str">
        <f t="shared" si="48"/>
        <v>19704001005011</v>
      </c>
      <c r="B1598" s="455" t="str">
        <f>VLOOKUP(LEFT($C$3:$C$2600,3),Table!$D$2:$E$88,2,FALSE)</f>
        <v>3rd Party Revenue</v>
      </c>
      <c r="C1598" s="455" t="str">
        <f t="shared" si="49"/>
        <v>4001005011</v>
      </c>
      <c r="D1598" s="455" t="e">
        <f>VLOOKUP(G1598,Table!$G$3:$H$21,2,FALSE)</f>
        <v>#N/A</v>
      </c>
      <c r="E1598" s="452" t="s">
        <v>902</v>
      </c>
      <c r="F1598" s="452" t="s">
        <v>1965</v>
      </c>
      <c r="G1598" s="452" t="s">
        <v>1656</v>
      </c>
      <c r="H1598" s="452" t="s">
        <v>1657</v>
      </c>
      <c r="I1598" s="453" t="s">
        <v>844</v>
      </c>
      <c r="J1598" s="453">
        <v>-1597692.99</v>
      </c>
      <c r="K1598" s="461">
        <v>-410101.19</v>
      </c>
      <c r="L1598" s="461">
        <v>-532634.24</v>
      </c>
      <c r="M1598" s="461">
        <v>-259134.86</v>
      </c>
      <c r="N1598" s="461">
        <v>0</v>
      </c>
      <c r="O1598" s="461">
        <v>0</v>
      </c>
      <c r="P1598" s="461">
        <v>0</v>
      </c>
      <c r="Q1598" s="461">
        <v>0</v>
      </c>
      <c r="R1598" s="461">
        <v>0</v>
      </c>
      <c r="S1598" s="461">
        <v>0</v>
      </c>
      <c r="T1598" s="461">
        <v>0</v>
      </c>
      <c r="U1598" s="461">
        <v>0</v>
      </c>
      <c r="V1598" s="461">
        <v>0</v>
      </c>
    </row>
    <row r="1599" spans="1:22" s="455" customFormat="1" hidden="1">
      <c r="A1599" s="455" t="str">
        <f t="shared" si="48"/>
        <v>19704001010211</v>
      </c>
      <c r="B1599" s="455" t="str">
        <f>VLOOKUP(LEFT($C$3:$C$2600,3),Table!$D$2:$E$88,2,FALSE)</f>
        <v>3rd Party Revenue</v>
      </c>
      <c r="C1599" s="455" t="str">
        <f t="shared" si="49"/>
        <v>4001010211</v>
      </c>
      <c r="D1599" s="455" t="e">
        <f>VLOOKUP(G1599,Table!$G$3:$H$21,2,FALSE)</f>
        <v>#N/A</v>
      </c>
      <c r="E1599" s="452" t="s">
        <v>902</v>
      </c>
      <c r="F1599" s="452" t="s">
        <v>1965</v>
      </c>
      <c r="G1599" s="452" t="s">
        <v>1658</v>
      </c>
      <c r="H1599" s="452" t="s">
        <v>1659</v>
      </c>
      <c r="I1599" s="453" t="s">
        <v>844</v>
      </c>
      <c r="J1599" s="453">
        <v>-572683.68000000005</v>
      </c>
      <c r="K1599" s="461">
        <v>-257032.02</v>
      </c>
      <c r="L1599" s="461">
        <v>0</v>
      </c>
      <c r="M1599" s="461">
        <v>-239856.67</v>
      </c>
      <c r="N1599" s="461">
        <v>0</v>
      </c>
      <c r="O1599" s="461">
        <v>0</v>
      </c>
      <c r="P1599" s="461">
        <v>0</v>
      </c>
      <c r="Q1599" s="461">
        <v>0</v>
      </c>
      <c r="R1599" s="461">
        <v>0</v>
      </c>
      <c r="S1599" s="461">
        <v>0</v>
      </c>
      <c r="T1599" s="461">
        <v>0</v>
      </c>
      <c r="U1599" s="461">
        <v>0</v>
      </c>
      <c r="V1599" s="461">
        <v>0</v>
      </c>
    </row>
    <row r="1600" spans="1:22" s="455" customFormat="1" hidden="1">
      <c r="A1600" s="455" t="str">
        <f t="shared" si="48"/>
        <v>19704001030011</v>
      </c>
      <c r="B1600" s="455" t="str">
        <f>VLOOKUP(LEFT($C$3:$C$2600,3),Table!$D$2:$E$88,2,FALSE)</f>
        <v>3rd Party Revenue</v>
      </c>
      <c r="C1600" s="455" t="str">
        <f t="shared" si="49"/>
        <v>4001030011</v>
      </c>
      <c r="D1600" s="455" t="e">
        <f>VLOOKUP(G1600,Table!$G$3:$H$21,2,FALSE)</f>
        <v>#N/A</v>
      </c>
      <c r="E1600" s="452" t="s">
        <v>902</v>
      </c>
      <c r="F1600" s="452" t="s">
        <v>1965</v>
      </c>
      <c r="G1600" s="452" t="s">
        <v>1662</v>
      </c>
      <c r="H1600" s="452" t="s">
        <v>1663</v>
      </c>
      <c r="I1600" s="453" t="s">
        <v>844</v>
      </c>
      <c r="J1600" s="453">
        <v>-1346765.07</v>
      </c>
      <c r="K1600" s="461">
        <v>-493170.58</v>
      </c>
      <c r="L1600" s="461">
        <v>0</v>
      </c>
      <c r="M1600" s="461">
        <v>-150239.06</v>
      </c>
      <c r="N1600" s="461">
        <v>0</v>
      </c>
      <c r="O1600" s="461">
        <v>0</v>
      </c>
      <c r="P1600" s="461">
        <v>0</v>
      </c>
      <c r="Q1600" s="461">
        <v>0</v>
      </c>
      <c r="R1600" s="461">
        <v>0</v>
      </c>
      <c r="S1600" s="461">
        <v>0</v>
      </c>
      <c r="T1600" s="461">
        <v>0</v>
      </c>
      <c r="U1600" s="461">
        <v>0</v>
      </c>
      <c r="V1600" s="461">
        <v>0</v>
      </c>
    </row>
    <row r="1601" spans="1:22" s="455" customFormat="1" hidden="1">
      <c r="A1601" s="455" t="str">
        <f t="shared" si="48"/>
        <v>19704001030111</v>
      </c>
      <c r="B1601" s="455" t="str">
        <f>VLOOKUP(LEFT($C$3:$C$2600,3),Table!$D$2:$E$88,2,FALSE)</f>
        <v>3rd Party Revenue</v>
      </c>
      <c r="C1601" s="455" t="str">
        <f t="shared" si="49"/>
        <v>4001030111</v>
      </c>
      <c r="D1601" s="455" t="e">
        <f>VLOOKUP(G1601,Table!$G$3:$H$21,2,FALSE)</f>
        <v>#N/A</v>
      </c>
      <c r="E1601" s="452" t="s">
        <v>902</v>
      </c>
      <c r="F1601" s="452" t="s">
        <v>1965</v>
      </c>
      <c r="G1601" s="452" t="s">
        <v>1664</v>
      </c>
      <c r="H1601" s="452" t="s">
        <v>1665</v>
      </c>
      <c r="I1601" s="453" t="s">
        <v>844</v>
      </c>
      <c r="J1601" s="453">
        <v>-144843</v>
      </c>
      <c r="K1601" s="461">
        <v>0</v>
      </c>
      <c r="L1601" s="461">
        <v>-144843</v>
      </c>
      <c r="M1601" s="461">
        <v>0</v>
      </c>
      <c r="N1601" s="461">
        <v>0</v>
      </c>
      <c r="O1601" s="461">
        <v>0</v>
      </c>
      <c r="P1601" s="461">
        <v>0</v>
      </c>
      <c r="Q1601" s="461">
        <v>0</v>
      </c>
      <c r="R1601" s="461">
        <v>0</v>
      </c>
      <c r="S1601" s="461">
        <v>0</v>
      </c>
      <c r="T1601" s="461">
        <v>0</v>
      </c>
      <c r="U1601" s="461">
        <v>0</v>
      </c>
      <c r="V1601" s="461">
        <v>0</v>
      </c>
    </row>
    <row r="1602" spans="1:22" s="455" customFormat="1" hidden="1">
      <c r="A1602" s="455" t="str">
        <f t="shared" si="48"/>
        <v>19704001510520</v>
      </c>
      <c r="B1602" s="455" t="str">
        <f>VLOOKUP(LEFT($C$3:$C$2600,3),Table!$D$2:$E$88,2,FALSE)</f>
        <v>3rd Party Revenue</v>
      </c>
      <c r="C1602" s="455" t="str">
        <f t="shared" si="49"/>
        <v>4001510520</v>
      </c>
      <c r="D1602" s="455" t="e">
        <f>VLOOKUP(G1602,Table!$G$3:$H$21,2,FALSE)</f>
        <v>#N/A</v>
      </c>
      <c r="E1602" s="452" t="s">
        <v>902</v>
      </c>
      <c r="F1602" s="452" t="s">
        <v>1965</v>
      </c>
      <c r="G1602" s="452" t="s">
        <v>1674</v>
      </c>
      <c r="H1602" s="452" t="s">
        <v>1675</v>
      </c>
      <c r="I1602" s="453" t="s">
        <v>844</v>
      </c>
      <c r="J1602" s="453">
        <v>-16200310.27</v>
      </c>
      <c r="K1602" s="461">
        <v>-5593728.2300000004</v>
      </c>
      <c r="L1602" s="461">
        <v>-3527890.58</v>
      </c>
      <c r="M1602" s="461">
        <v>-5081631.37</v>
      </c>
      <c r="N1602" s="461">
        <v>0</v>
      </c>
      <c r="O1602" s="461">
        <v>0</v>
      </c>
      <c r="P1602" s="461">
        <v>0</v>
      </c>
      <c r="Q1602" s="461">
        <v>0</v>
      </c>
      <c r="R1602" s="461">
        <v>0</v>
      </c>
      <c r="S1602" s="461">
        <v>0</v>
      </c>
      <c r="T1602" s="461">
        <v>0</v>
      </c>
      <c r="U1602" s="461">
        <v>0</v>
      </c>
      <c r="V1602" s="461">
        <v>0</v>
      </c>
    </row>
    <row r="1603" spans="1:22" s="455" customFormat="1" hidden="1">
      <c r="A1603" s="455" t="str">
        <f t="shared" si="48"/>
        <v>19704001610211</v>
      </c>
      <c r="B1603" s="455" t="str">
        <f>VLOOKUP(LEFT($C$3:$C$2600,3),Table!$D$2:$E$88,2,FALSE)</f>
        <v>3rd Party Revenue</v>
      </c>
      <c r="C1603" s="455" t="str">
        <f t="shared" si="49"/>
        <v>4001610211</v>
      </c>
      <c r="D1603" s="455" t="e">
        <f>VLOOKUP(G1603,Table!$G$3:$H$21,2,FALSE)</f>
        <v>#N/A</v>
      </c>
      <c r="E1603" s="452" t="s">
        <v>902</v>
      </c>
      <c r="F1603" s="452" t="s">
        <v>1965</v>
      </c>
      <c r="G1603" s="452" t="s">
        <v>1678</v>
      </c>
      <c r="H1603" s="452" t="s">
        <v>1679</v>
      </c>
      <c r="I1603" s="453" t="s">
        <v>844</v>
      </c>
      <c r="J1603" s="453">
        <v>-101768.79</v>
      </c>
      <c r="K1603" s="461">
        <v>-18013.73</v>
      </c>
      <c r="L1603" s="461">
        <v>0</v>
      </c>
      <c r="M1603" s="461">
        <v>-83755.06</v>
      </c>
      <c r="N1603" s="461">
        <v>0</v>
      </c>
      <c r="O1603" s="461">
        <v>0</v>
      </c>
      <c r="P1603" s="461">
        <v>0</v>
      </c>
      <c r="Q1603" s="461">
        <v>0</v>
      </c>
      <c r="R1603" s="461">
        <v>0</v>
      </c>
      <c r="S1603" s="461">
        <v>0</v>
      </c>
      <c r="T1603" s="461">
        <v>0</v>
      </c>
      <c r="U1603" s="461">
        <v>0</v>
      </c>
      <c r="V1603" s="461">
        <v>0</v>
      </c>
    </row>
    <row r="1604" spans="1:22" s="455" customFormat="1" hidden="1">
      <c r="A1604" s="455" t="str">
        <f t="shared" ref="A1604:A1667" si="50">F1604&amp;G1604</f>
        <v>19704001610311</v>
      </c>
      <c r="B1604" s="455" t="str">
        <f>VLOOKUP(LEFT($C$3:$C$2600,3),Table!$D$2:$E$88,2,FALSE)</f>
        <v>3rd Party Revenue</v>
      </c>
      <c r="C1604" s="455" t="str">
        <f t="shared" ref="C1604:C1667" si="51">IF(ISNA(D1604),G1604,D1604)</f>
        <v>4001610311</v>
      </c>
      <c r="D1604" s="455" t="e">
        <f>VLOOKUP(G1604,Table!$G$3:$H$21,2,FALSE)</f>
        <v>#N/A</v>
      </c>
      <c r="E1604" s="452" t="s">
        <v>902</v>
      </c>
      <c r="F1604" s="452" t="s">
        <v>1965</v>
      </c>
      <c r="G1604" s="452" t="s">
        <v>1680</v>
      </c>
      <c r="H1604" s="452" t="s">
        <v>2574</v>
      </c>
      <c r="I1604" s="453" t="s">
        <v>844</v>
      </c>
      <c r="J1604" s="453">
        <v>-5784.92</v>
      </c>
      <c r="K1604" s="461">
        <v>0</v>
      </c>
      <c r="L1604" s="461">
        <v>0</v>
      </c>
      <c r="M1604" s="461">
        <v>-5784.92</v>
      </c>
      <c r="N1604" s="461">
        <v>0</v>
      </c>
      <c r="O1604" s="461">
        <v>0</v>
      </c>
      <c r="P1604" s="461">
        <v>0</v>
      </c>
      <c r="Q1604" s="461">
        <v>0</v>
      </c>
      <c r="R1604" s="461">
        <v>0</v>
      </c>
      <c r="S1604" s="461">
        <v>0</v>
      </c>
      <c r="T1604" s="461">
        <v>0</v>
      </c>
      <c r="U1604" s="461">
        <v>0</v>
      </c>
      <c r="V1604" s="461">
        <v>0</v>
      </c>
    </row>
    <row r="1605" spans="1:22" s="455" customFormat="1" hidden="1">
      <c r="A1605" s="455" t="str">
        <f t="shared" si="50"/>
        <v>19704011510520</v>
      </c>
      <c r="B1605" s="455" t="str">
        <f>VLOOKUP(LEFT($C$3:$C$2600,3),Table!$D$2:$E$88,2,FALSE)</f>
        <v>3rd Party Revenue</v>
      </c>
      <c r="C1605" s="455" t="str">
        <f t="shared" si="51"/>
        <v>4011510520</v>
      </c>
      <c r="D1605" s="455" t="e">
        <f>VLOOKUP(G1605,Table!$G$3:$H$21,2,FALSE)</f>
        <v>#N/A</v>
      </c>
      <c r="E1605" s="452" t="s">
        <v>902</v>
      </c>
      <c r="F1605" s="452" t="s">
        <v>1965</v>
      </c>
      <c r="G1605" s="452" t="s">
        <v>1695</v>
      </c>
      <c r="H1605" s="452" t="s">
        <v>1696</v>
      </c>
      <c r="I1605" s="453" t="s">
        <v>844</v>
      </c>
      <c r="J1605" s="453">
        <v>923193.87</v>
      </c>
      <c r="K1605" s="461">
        <v>160868.25</v>
      </c>
      <c r="L1605" s="461">
        <v>423.97</v>
      </c>
      <c r="M1605" s="461">
        <v>750398.87</v>
      </c>
      <c r="N1605" s="461">
        <v>0</v>
      </c>
      <c r="O1605" s="461">
        <v>0</v>
      </c>
      <c r="P1605" s="461">
        <v>0</v>
      </c>
      <c r="Q1605" s="461">
        <v>0</v>
      </c>
      <c r="R1605" s="461">
        <v>0</v>
      </c>
      <c r="S1605" s="461">
        <v>0</v>
      </c>
      <c r="T1605" s="461">
        <v>0</v>
      </c>
      <c r="U1605" s="461">
        <v>0</v>
      </c>
      <c r="V1605" s="461">
        <v>0</v>
      </c>
    </row>
    <row r="1606" spans="1:22" s="455" customFormat="1" hidden="1">
      <c r="A1606" s="455" t="str">
        <f t="shared" si="50"/>
        <v>19704041005011</v>
      </c>
      <c r="B1606" s="455" t="str">
        <f>VLOOKUP(LEFT($C$3:$C$2600,3),Table!$D$2:$E$88,2,FALSE)</f>
        <v>Freight</v>
      </c>
      <c r="C1606" s="455" t="str">
        <f t="shared" si="51"/>
        <v>4041005011</v>
      </c>
      <c r="D1606" s="455" t="e">
        <f>VLOOKUP(G1606,Table!$G$3:$H$21,2,FALSE)</f>
        <v>#N/A</v>
      </c>
      <c r="E1606" s="452" t="s">
        <v>902</v>
      </c>
      <c r="F1606" s="452" t="s">
        <v>1965</v>
      </c>
      <c r="G1606" s="452" t="s">
        <v>1716</v>
      </c>
      <c r="H1606" s="452" t="s">
        <v>1717</v>
      </c>
      <c r="I1606" s="453" t="s">
        <v>844</v>
      </c>
      <c r="J1606" s="453">
        <v>15818.9</v>
      </c>
      <c r="K1606" s="461">
        <v>7070.5</v>
      </c>
      <c r="L1606" s="461">
        <v>6012</v>
      </c>
      <c r="M1606" s="461">
        <v>2736.4</v>
      </c>
      <c r="N1606" s="461">
        <v>0</v>
      </c>
      <c r="O1606" s="461">
        <v>0</v>
      </c>
      <c r="P1606" s="461">
        <v>0</v>
      </c>
      <c r="Q1606" s="461">
        <v>0</v>
      </c>
      <c r="R1606" s="461">
        <v>0</v>
      </c>
      <c r="S1606" s="461">
        <v>0</v>
      </c>
      <c r="T1606" s="461">
        <v>0</v>
      </c>
      <c r="U1606" s="461">
        <v>0</v>
      </c>
      <c r="V1606" s="461">
        <v>0</v>
      </c>
    </row>
    <row r="1607" spans="1:22" s="455" customFormat="1" hidden="1">
      <c r="A1607" s="455" t="str">
        <f t="shared" si="50"/>
        <v>19704041010211</v>
      </c>
      <c r="B1607" s="455" t="str">
        <f>VLOOKUP(LEFT($C$3:$C$2600,3),Table!$D$2:$E$88,2,FALSE)</f>
        <v>Freight</v>
      </c>
      <c r="C1607" s="455" t="str">
        <f t="shared" si="51"/>
        <v>4041010211</v>
      </c>
      <c r="D1607" s="455" t="e">
        <f>VLOOKUP(G1607,Table!$G$3:$H$21,2,FALSE)</f>
        <v>#N/A</v>
      </c>
      <c r="E1607" s="452" t="s">
        <v>902</v>
      </c>
      <c r="F1607" s="452" t="s">
        <v>1965</v>
      </c>
      <c r="G1607" s="452" t="s">
        <v>1718</v>
      </c>
      <c r="H1607" s="452" t="s">
        <v>1719</v>
      </c>
      <c r="I1607" s="453" t="s">
        <v>844</v>
      </c>
      <c r="J1607" s="453">
        <v>6167.6</v>
      </c>
      <c r="K1607" s="461">
        <v>2696</v>
      </c>
      <c r="L1607" s="461">
        <v>0</v>
      </c>
      <c r="M1607" s="461">
        <v>3471.6</v>
      </c>
      <c r="N1607" s="461">
        <v>0</v>
      </c>
      <c r="O1607" s="461">
        <v>0</v>
      </c>
      <c r="P1607" s="461">
        <v>0</v>
      </c>
      <c r="Q1607" s="461">
        <v>0</v>
      </c>
      <c r="R1607" s="461">
        <v>0</v>
      </c>
      <c r="S1607" s="461">
        <v>0</v>
      </c>
      <c r="T1607" s="461">
        <v>0</v>
      </c>
      <c r="U1607" s="461">
        <v>0</v>
      </c>
      <c r="V1607" s="461">
        <v>0</v>
      </c>
    </row>
    <row r="1608" spans="1:22" s="455" customFormat="1" hidden="1">
      <c r="A1608" s="455" t="str">
        <f t="shared" si="50"/>
        <v>19704041030011</v>
      </c>
      <c r="B1608" s="455" t="str">
        <f>VLOOKUP(LEFT($C$3:$C$2600,3),Table!$D$2:$E$88,2,FALSE)</f>
        <v>Freight</v>
      </c>
      <c r="C1608" s="455" t="str">
        <f t="shared" si="51"/>
        <v>4041030011</v>
      </c>
      <c r="D1608" s="455" t="e">
        <f>VLOOKUP(G1608,Table!$G$3:$H$21,2,FALSE)</f>
        <v>#N/A</v>
      </c>
      <c r="E1608" s="452" t="s">
        <v>902</v>
      </c>
      <c r="F1608" s="452" t="s">
        <v>1965</v>
      </c>
      <c r="G1608" s="452" t="s">
        <v>1722</v>
      </c>
      <c r="H1608" s="452" t="s">
        <v>1723</v>
      </c>
      <c r="I1608" s="453" t="s">
        <v>844</v>
      </c>
      <c r="J1608" s="453">
        <v>8571.0499999999993</v>
      </c>
      <c r="K1608" s="461">
        <v>6751.85</v>
      </c>
      <c r="L1608" s="461">
        <v>0</v>
      </c>
      <c r="M1608" s="461">
        <v>1819.2</v>
      </c>
      <c r="N1608" s="461">
        <v>0</v>
      </c>
      <c r="O1608" s="461">
        <v>0</v>
      </c>
      <c r="P1608" s="461">
        <v>0</v>
      </c>
      <c r="Q1608" s="461">
        <v>0</v>
      </c>
      <c r="R1608" s="461">
        <v>0</v>
      </c>
      <c r="S1608" s="461">
        <v>0</v>
      </c>
      <c r="T1608" s="461">
        <v>0</v>
      </c>
      <c r="U1608" s="461">
        <v>0</v>
      </c>
      <c r="V1608" s="461">
        <v>0</v>
      </c>
    </row>
    <row r="1609" spans="1:22" s="455" customFormat="1" hidden="1">
      <c r="A1609" s="455" t="str">
        <f t="shared" si="50"/>
        <v>19704041030111</v>
      </c>
      <c r="B1609" s="455" t="str">
        <f>VLOOKUP(LEFT($C$3:$C$2600,3),Table!$D$2:$E$88,2,FALSE)</f>
        <v>Freight</v>
      </c>
      <c r="C1609" s="455" t="str">
        <f t="shared" si="51"/>
        <v>4041030111</v>
      </c>
      <c r="D1609" s="455" t="e">
        <f>VLOOKUP(G1609,Table!$G$3:$H$21,2,FALSE)</f>
        <v>#N/A</v>
      </c>
      <c r="E1609" s="452" t="s">
        <v>902</v>
      </c>
      <c r="F1609" s="452" t="s">
        <v>1965</v>
      </c>
      <c r="G1609" s="452" t="s">
        <v>1724</v>
      </c>
      <c r="H1609" s="452" t="s">
        <v>1725</v>
      </c>
      <c r="I1609" s="453" t="s">
        <v>844</v>
      </c>
      <c r="J1609" s="453">
        <v>1514</v>
      </c>
      <c r="K1609" s="461">
        <v>0</v>
      </c>
      <c r="L1609" s="461">
        <v>1514</v>
      </c>
      <c r="M1609" s="461">
        <v>0</v>
      </c>
      <c r="N1609" s="461">
        <v>0</v>
      </c>
      <c r="O1609" s="461">
        <v>0</v>
      </c>
      <c r="P1609" s="461">
        <v>0</v>
      </c>
      <c r="Q1609" s="461">
        <v>0</v>
      </c>
      <c r="R1609" s="461">
        <v>0</v>
      </c>
      <c r="S1609" s="461">
        <v>0</v>
      </c>
      <c r="T1609" s="461">
        <v>0</v>
      </c>
      <c r="U1609" s="461">
        <v>0</v>
      </c>
      <c r="V1609" s="461">
        <v>0</v>
      </c>
    </row>
    <row r="1610" spans="1:22" s="455" customFormat="1" hidden="1">
      <c r="A1610" s="455" t="str">
        <f t="shared" si="50"/>
        <v>19704041510520</v>
      </c>
      <c r="B1610" s="455" t="str">
        <f>VLOOKUP(LEFT($C$3:$C$2600,3),Table!$D$2:$E$88,2,FALSE)</f>
        <v>Freight</v>
      </c>
      <c r="C1610" s="455" t="str">
        <f t="shared" si="51"/>
        <v>4041510520</v>
      </c>
      <c r="D1610" s="455" t="e">
        <f>VLOOKUP(G1610,Table!$G$3:$H$21,2,FALSE)</f>
        <v>#N/A</v>
      </c>
      <c r="E1610" s="452" t="s">
        <v>902</v>
      </c>
      <c r="F1610" s="452" t="s">
        <v>1965</v>
      </c>
      <c r="G1610" s="452" t="s">
        <v>1734</v>
      </c>
      <c r="H1610" s="452" t="s">
        <v>1735</v>
      </c>
      <c r="I1610" s="453" t="s">
        <v>844</v>
      </c>
      <c r="J1610" s="453">
        <v>111424.7</v>
      </c>
      <c r="K1610" s="461">
        <v>50019.6</v>
      </c>
      <c r="L1610" s="461">
        <v>28374.2</v>
      </c>
      <c r="M1610" s="461">
        <v>33030.9</v>
      </c>
      <c r="N1610" s="461">
        <v>0</v>
      </c>
      <c r="O1610" s="461">
        <v>0</v>
      </c>
      <c r="P1610" s="461">
        <v>0</v>
      </c>
      <c r="Q1610" s="461">
        <v>0</v>
      </c>
      <c r="R1610" s="461">
        <v>0</v>
      </c>
      <c r="S1610" s="461">
        <v>0</v>
      </c>
      <c r="T1610" s="461">
        <v>0</v>
      </c>
      <c r="U1610" s="461">
        <v>0</v>
      </c>
      <c r="V1610" s="461">
        <v>0</v>
      </c>
    </row>
    <row r="1611" spans="1:22" s="455" customFormat="1" hidden="1">
      <c r="A1611" s="455" t="str">
        <f t="shared" si="50"/>
        <v>19704041610211</v>
      </c>
      <c r="B1611" s="455" t="str">
        <f>VLOOKUP(LEFT($C$3:$C$2600,3),Table!$D$2:$E$88,2,FALSE)</f>
        <v>Freight</v>
      </c>
      <c r="C1611" s="455" t="str">
        <f t="shared" si="51"/>
        <v>4041610211</v>
      </c>
      <c r="D1611" s="455" t="e">
        <f>VLOOKUP(G1611,Table!$G$3:$H$21,2,FALSE)</f>
        <v>#N/A</v>
      </c>
      <c r="E1611" s="452" t="s">
        <v>902</v>
      </c>
      <c r="F1611" s="452" t="s">
        <v>1965</v>
      </c>
      <c r="G1611" s="452" t="s">
        <v>1738</v>
      </c>
      <c r="H1611" s="452" t="s">
        <v>1739</v>
      </c>
      <c r="I1611" s="453" t="s">
        <v>844</v>
      </c>
      <c r="J1611" s="453">
        <v>1045.5999999999999</v>
      </c>
      <c r="K1611" s="461">
        <v>201.6</v>
      </c>
      <c r="L1611" s="461">
        <v>0</v>
      </c>
      <c r="M1611" s="461">
        <v>844</v>
      </c>
      <c r="N1611" s="461">
        <v>0</v>
      </c>
      <c r="O1611" s="461">
        <v>0</v>
      </c>
      <c r="P1611" s="461">
        <v>0</v>
      </c>
      <c r="Q1611" s="461">
        <v>0</v>
      </c>
      <c r="R1611" s="461">
        <v>0</v>
      </c>
      <c r="S1611" s="461">
        <v>0</v>
      </c>
      <c r="T1611" s="461">
        <v>0</v>
      </c>
      <c r="U1611" s="461">
        <v>0</v>
      </c>
      <c r="V1611" s="461">
        <v>0</v>
      </c>
    </row>
    <row r="1612" spans="1:22" s="455" customFormat="1" hidden="1">
      <c r="A1612" s="455" t="str">
        <f t="shared" si="50"/>
        <v>19704041610311</v>
      </c>
      <c r="B1612" s="455" t="str">
        <f>VLOOKUP(LEFT($C$3:$C$2600,3),Table!$D$2:$E$88,2,FALSE)</f>
        <v>Freight</v>
      </c>
      <c r="C1612" s="455" t="str">
        <f t="shared" si="51"/>
        <v>4041610311</v>
      </c>
      <c r="D1612" s="455" t="e">
        <f>VLOOKUP(G1612,Table!$G$3:$H$21,2,FALSE)</f>
        <v>#N/A</v>
      </c>
      <c r="E1612" s="452" t="s">
        <v>902</v>
      </c>
      <c r="F1612" s="452" t="s">
        <v>1965</v>
      </c>
      <c r="G1612" s="452" t="s">
        <v>1740</v>
      </c>
      <c r="H1612" s="452" t="s">
        <v>2578</v>
      </c>
      <c r="I1612" s="453" t="s">
        <v>844</v>
      </c>
      <c r="J1612" s="453">
        <v>25</v>
      </c>
      <c r="K1612" s="461">
        <v>0</v>
      </c>
      <c r="L1612" s="461">
        <v>0</v>
      </c>
      <c r="M1612" s="461">
        <v>25</v>
      </c>
      <c r="N1612" s="461">
        <v>0</v>
      </c>
      <c r="O1612" s="461">
        <v>0</v>
      </c>
      <c r="P1612" s="461">
        <v>0</v>
      </c>
      <c r="Q1612" s="461">
        <v>0</v>
      </c>
      <c r="R1612" s="461">
        <v>0</v>
      </c>
      <c r="S1612" s="461">
        <v>0</v>
      </c>
      <c r="T1612" s="461">
        <v>0</v>
      </c>
      <c r="U1612" s="461">
        <v>0</v>
      </c>
      <c r="V1612" s="461">
        <v>0</v>
      </c>
    </row>
    <row r="1613" spans="1:22" s="455" customFormat="1" hidden="1">
      <c r="A1613" s="455" t="str">
        <f t="shared" si="50"/>
        <v>19705011005011</v>
      </c>
      <c r="B1613" s="455" t="str">
        <f>VLOOKUP(LEFT($C$3:$C$2600,3),Table!$D$2:$E$88,2,FALSE)</f>
        <v>3rd Party Contracted Metal</v>
      </c>
      <c r="C1613" s="455" t="str">
        <f t="shared" si="51"/>
        <v>5011005011</v>
      </c>
      <c r="D1613" s="455" t="e">
        <f>VLOOKUP(G1613,Table!$G$3:$H$21,2,FALSE)</f>
        <v>#N/A</v>
      </c>
      <c r="E1613" s="452" t="s">
        <v>902</v>
      </c>
      <c r="F1613" s="452" t="s">
        <v>1965</v>
      </c>
      <c r="G1613" s="452" t="s">
        <v>1779</v>
      </c>
      <c r="H1613" s="452" t="s">
        <v>1780</v>
      </c>
      <c r="I1613" s="453" t="s">
        <v>844</v>
      </c>
      <c r="J1613" s="453">
        <v>957052.43</v>
      </c>
      <c r="K1613" s="461">
        <v>319623.2</v>
      </c>
      <c r="L1613" s="461">
        <v>431245.14</v>
      </c>
      <c r="M1613" s="461">
        <v>206184.09</v>
      </c>
      <c r="N1613" s="461">
        <v>0</v>
      </c>
      <c r="O1613" s="461">
        <v>0</v>
      </c>
      <c r="P1613" s="461">
        <v>0</v>
      </c>
      <c r="Q1613" s="461">
        <v>0</v>
      </c>
      <c r="R1613" s="461">
        <v>0</v>
      </c>
      <c r="S1613" s="461">
        <v>0</v>
      </c>
      <c r="T1613" s="461">
        <v>0</v>
      </c>
      <c r="U1613" s="461">
        <v>0</v>
      </c>
      <c r="V1613" s="461">
        <v>0</v>
      </c>
    </row>
    <row r="1614" spans="1:22" s="455" customFormat="1" hidden="1">
      <c r="A1614" s="455" t="str">
        <f t="shared" si="50"/>
        <v>19705011010211</v>
      </c>
      <c r="B1614" s="455" t="str">
        <f>VLOOKUP(LEFT($C$3:$C$2600,3),Table!$D$2:$E$88,2,FALSE)</f>
        <v>3rd Party Contracted Metal</v>
      </c>
      <c r="C1614" s="455" t="str">
        <f t="shared" si="51"/>
        <v>5011010211</v>
      </c>
      <c r="D1614" s="455" t="e">
        <f>VLOOKUP(G1614,Table!$G$3:$H$21,2,FALSE)</f>
        <v>#N/A</v>
      </c>
      <c r="E1614" s="452" t="s">
        <v>902</v>
      </c>
      <c r="F1614" s="452" t="s">
        <v>1965</v>
      </c>
      <c r="G1614" s="452" t="s">
        <v>1781</v>
      </c>
      <c r="H1614" s="452" t="s">
        <v>1782</v>
      </c>
      <c r="I1614" s="453" t="s">
        <v>844</v>
      </c>
      <c r="J1614" s="453">
        <v>406258.14</v>
      </c>
      <c r="K1614" s="461">
        <v>214987.43</v>
      </c>
      <c r="L1614" s="461">
        <v>0</v>
      </c>
      <c r="M1614" s="461">
        <v>191270.71</v>
      </c>
      <c r="N1614" s="461">
        <v>0</v>
      </c>
      <c r="O1614" s="461">
        <v>0</v>
      </c>
      <c r="P1614" s="461">
        <v>0</v>
      </c>
      <c r="Q1614" s="461">
        <v>0</v>
      </c>
      <c r="R1614" s="461">
        <v>0</v>
      </c>
      <c r="S1614" s="461">
        <v>0</v>
      </c>
      <c r="T1614" s="461">
        <v>0</v>
      </c>
      <c r="U1614" s="461">
        <v>0</v>
      </c>
      <c r="V1614" s="461">
        <v>0</v>
      </c>
    </row>
    <row r="1615" spans="1:22" s="455" customFormat="1" hidden="1">
      <c r="A1615" s="455" t="str">
        <f t="shared" si="50"/>
        <v>19705011030011</v>
      </c>
      <c r="B1615" s="455" t="str">
        <f>VLOOKUP(LEFT($C$3:$C$2600,3),Table!$D$2:$E$88,2,FALSE)</f>
        <v>3rd Party Contracted Metal</v>
      </c>
      <c r="C1615" s="455" t="str">
        <f t="shared" si="51"/>
        <v>5011030011</v>
      </c>
      <c r="D1615" s="455" t="e">
        <f>VLOOKUP(G1615,Table!$G$3:$H$21,2,FALSE)</f>
        <v>#N/A</v>
      </c>
      <c r="E1615" s="452" t="s">
        <v>902</v>
      </c>
      <c r="F1615" s="452" t="s">
        <v>1965</v>
      </c>
      <c r="G1615" s="452" t="s">
        <v>1785</v>
      </c>
      <c r="H1615" s="452" t="s">
        <v>1786</v>
      </c>
      <c r="I1615" s="453" t="s">
        <v>844</v>
      </c>
      <c r="J1615" s="453">
        <v>647321.86</v>
      </c>
      <c r="K1615" s="461">
        <v>404211.16</v>
      </c>
      <c r="L1615" s="461">
        <v>121213.92</v>
      </c>
      <c r="M1615" s="461">
        <v>121896.78</v>
      </c>
      <c r="N1615" s="461">
        <v>0</v>
      </c>
      <c r="O1615" s="461">
        <v>0</v>
      </c>
      <c r="P1615" s="461">
        <v>0</v>
      </c>
      <c r="Q1615" s="461">
        <v>0</v>
      </c>
      <c r="R1615" s="461">
        <v>0</v>
      </c>
      <c r="S1615" s="461">
        <v>0</v>
      </c>
      <c r="T1615" s="461">
        <v>0</v>
      </c>
      <c r="U1615" s="461">
        <v>0</v>
      </c>
      <c r="V1615" s="461">
        <v>0</v>
      </c>
    </row>
    <row r="1616" spans="1:22" s="455" customFormat="1" hidden="1">
      <c r="A1616" s="455" t="str">
        <f t="shared" si="50"/>
        <v>19705011510520</v>
      </c>
      <c r="B1616" s="455" t="str">
        <f>VLOOKUP(LEFT($C$3:$C$2600,3),Table!$D$2:$E$88,2,FALSE)</f>
        <v>3rd Party Contracted Metal</v>
      </c>
      <c r="C1616" s="455" t="str">
        <f t="shared" si="51"/>
        <v>5011510520</v>
      </c>
      <c r="D1616" s="455" t="e">
        <f>VLOOKUP(G1616,Table!$G$3:$H$21,2,FALSE)</f>
        <v>#N/A</v>
      </c>
      <c r="E1616" s="452" t="s">
        <v>902</v>
      </c>
      <c r="F1616" s="452" t="s">
        <v>1965</v>
      </c>
      <c r="G1616" s="452" t="s">
        <v>1793</v>
      </c>
      <c r="H1616" s="452" t="s">
        <v>1794</v>
      </c>
      <c r="I1616" s="453" t="s">
        <v>844</v>
      </c>
      <c r="J1616" s="453">
        <v>10363018.91</v>
      </c>
      <c r="K1616" s="461">
        <v>4297305.74</v>
      </c>
      <c r="L1616" s="461">
        <v>2767794.39</v>
      </c>
      <c r="M1616" s="461">
        <v>3297918.78</v>
      </c>
      <c r="N1616" s="461">
        <v>0</v>
      </c>
      <c r="O1616" s="461">
        <v>0</v>
      </c>
      <c r="P1616" s="461">
        <v>0</v>
      </c>
      <c r="Q1616" s="461">
        <v>0</v>
      </c>
      <c r="R1616" s="461">
        <v>0</v>
      </c>
      <c r="S1616" s="461">
        <v>0</v>
      </c>
      <c r="T1616" s="461">
        <v>0</v>
      </c>
      <c r="U1616" s="461">
        <v>0</v>
      </c>
      <c r="V1616" s="461">
        <v>0</v>
      </c>
    </row>
    <row r="1617" spans="1:22" s="455" customFormat="1" hidden="1">
      <c r="A1617" s="455" t="str">
        <f t="shared" si="50"/>
        <v>19705011610211</v>
      </c>
      <c r="B1617" s="455" t="str">
        <f>VLOOKUP(LEFT($C$3:$C$2600,3),Table!$D$2:$E$88,2,FALSE)</f>
        <v>3rd Party Contracted Metal</v>
      </c>
      <c r="C1617" s="455" t="str">
        <f t="shared" si="51"/>
        <v>5011610211</v>
      </c>
      <c r="D1617" s="455" t="e">
        <f>VLOOKUP(G1617,Table!$G$3:$H$21,2,FALSE)</f>
        <v>#N/A</v>
      </c>
      <c r="E1617" s="452" t="s">
        <v>902</v>
      </c>
      <c r="F1617" s="452" t="s">
        <v>1965</v>
      </c>
      <c r="G1617" s="452" t="s">
        <v>1797</v>
      </c>
      <c r="H1617" s="452" t="s">
        <v>1798</v>
      </c>
      <c r="I1617" s="453" t="s">
        <v>844</v>
      </c>
      <c r="J1617" s="453">
        <v>41550.11</v>
      </c>
      <c r="K1617" s="461">
        <v>7655.06</v>
      </c>
      <c r="L1617" s="461">
        <v>0</v>
      </c>
      <c r="M1617" s="461">
        <v>33895.050000000003</v>
      </c>
      <c r="N1617" s="461">
        <v>0</v>
      </c>
      <c r="O1617" s="461">
        <v>0</v>
      </c>
      <c r="P1617" s="461">
        <v>0</v>
      </c>
      <c r="Q1617" s="461">
        <v>0</v>
      </c>
      <c r="R1617" s="461">
        <v>0</v>
      </c>
      <c r="S1617" s="461">
        <v>0</v>
      </c>
      <c r="T1617" s="461">
        <v>0</v>
      </c>
      <c r="U1617" s="461">
        <v>0</v>
      </c>
      <c r="V1617" s="461">
        <v>0</v>
      </c>
    </row>
    <row r="1618" spans="1:22" s="455" customFormat="1" hidden="1">
      <c r="A1618" s="455" t="str">
        <f t="shared" si="50"/>
        <v>19705011610311</v>
      </c>
      <c r="B1618" s="455" t="str">
        <f>VLOOKUP(LEFT($C$3:$C$2600,3),Table!$D$2:$E$88,2,FALSE)</f>
        <v>3rd Party Contracted Metal</v>
      </c>
      <c r="C1618" s="455" t="str">
        <f t="shared" si="51"/>
        <v>5011610311</v>
      </c>
      <c r="D1618" s="455" t="e">
        <f>VLOOKUP(G1618,Table!$G$3:$H$21,2,FALSE)</f>
        <v>#N/A</v>
      </c>
      <c r="E1618" s="452" t="s">
        <v>902</v>
      </c>
      <c r="F1618" s="452" t="s">
        <v>1965</v>
      </c>
      <c r="G1618" s="452" t="s">
        <v>1799</v>
      </c>
      <c r="H1618" s="452" t="s">
        <v>2581</v>
      </c>
      <c r="I1618" s="453" t="s">
        <v>844</v>
      </c>
      <c r="J1618" s="453">
        <v>3995.78</v>
      </c>
      <c r="K1618" s="461">
        <v>0</v>
      </c>
      <c r="L1618" s="461">
        <v>0</v>
      </c>
      <c r="M1618" s="461">
        <v>3995.78</v>
      </c>
      <c r="N1618" s="461">
        <v>0</v>
      </c>
      <c r="O1618" s="461">
        <v>0</v>
      </c>
      <c r="P1618" s="461">
        <v>0</v>
      </c>
      <c r="Q1618" s="461">
        <v>0</v>
      </c>
      <c r="R1618" s="461">
        <v>0</v>
      </c>
      <c r="S1618" s="461">
        <v>0</v>
      </c>
      <c r="T1618" s="461">
        <v>0</v>
      </c>
      <c r="U1618" s="461">
        <v>0</v>
      </c>
      <c r="V1618" s="461">
        <v>0</v>
      </c>
    </row>
    <row r="1619" spans="1:22" s="455" customFormat="1" hidden="1">
      <c r="A1619" s="455" t="str">
        <f t="shared" si="50"/>
        <v>19705021010211</v>
      </c>
      <c r="B1619" s="455" t="str">
        <f>VLOOKUP(LEFT($C$3:$C$2600,3),Table!$D$2:$E$88,2,FALSE)</f>
        <v>3rd Party Contracted Metal</v>
      </c>
      <c r="C1619" s="455" t="str">
        <f t="shared" si="51"/>
        <v>5021010211</v>
      </c>
      <c r="D1619" s="455" t="e">
        <f>VLOOKUP(G1619,Table!$G$3:$H$21,2,FALSE)</f>
        <v>#N/A</v>
      </c>
      <c r="E1619" s="452" t="s">
        <v>902</v>
      </c>
      <c r="F1619" s="452" t="s">
        <v>1965</v>
      </c>
      <c r="G1619" s="452" t="s">
        <v>2582</v>
      </c>
      <c r="H1619" s="452" t="s">
        <v>2583</v>
      </c>
      <c r="I1619" s="453" t="s">
        <v>844</v>
      </c>
      <c r="J1619" s="453">
        <v>368.91</v>
      </c>
      <c r="K1619" s="461">
        <v>0</v>
      </c>
      <c r="L1619" s="461">
        <v>0</v>
      </c>
      <c r="M1619" s="461">
        <v>368.91</v>
      </c>
      <c r="N1619" s="461">
        <v>0</v>
      </c>
      <c r="O1619" s="461">
        <v>0</v>
      </c>
      <c r="P1619" s="461">
        <v>0</v>
      </c>
      <c r="Q1619" s="461">
        <v>0</v>
      </c>
      <c r="R1619" s="461">
        <v>0</v>
      </c>
      <c r="S1619" s="461">
        <v>0</v>
      </c>
      <c r="T1619" s="461">
        <v>0</v>
      </c>
      <c r="U1619" s="461">
        <v>0</v>
      </c>
      <c r="V1619" s="461">
        <v>0</v>
      </c>
    </row>
    <row r="1620" spans="1:22" s="455" customFormat="1" hidden="1">
      <c r="A1620" s="455" t="str">
        <f t="shared" si="50"/>
        <v>19705021030011</v>
      </c>
      <c r="B1620" s="455" t="str">
        <f>VLOOKUP(LEFT($C$3:$C$2600,3),Table!$D$2:$E$88,2,FALSE)</f>
        <v>3rd Party Contracted Metal</v>
      </c>
      <c r="C1620" s="455" t="str">
        <f t="shared" si="51"/>
        <v>5021030011</v>
      </c>
      <c r="D1620" s="455" t="e">
        <f>VLOOKUP(G1620,Table!$G$3:$H$21,2,FALSE)</f>
        <v>#N/A</v>
      </c>
      <c r="E1620" s="452" t="s">
        <v>902</v>
      </c>
      <c r="F1620" s="452" t="s">
        <v>1965</v>
      </c>
      <c r="G1620" s="452" t="s">
        <v>2584</v>
      </c>
      <c r="H1620" s="452" t="s">
        <v>2585</v>
      </c>
      <c r="I1620" s="453" t="s">
        <v>844</v>
      </c>
      <c r="J1620" s="453">
        <v>534.48</v>
      </c>
      <c r="K1620" s="461">
        <v>0</v>
      </c>
      <c r="L1620" s="461">
        <v>126.04</v>
      </c>
      <c r="M1620" s="461">
        <v>408.44</v>
      </c>
      <c r="N1620" s="461">
        <v>0</v>
      </c>
      <c r="O1620" s="461">
        <v>0</v>
      </c>
      <c r="P1620" s="461">
        <v>0</v>
      </c>
      <c r="Q1620" s="461">
        <v>0</v>
      </c>
      <c r="R1620" s="461">
        <v>0</v>
      </c>
      <c r="S1620" s="461">
        <v>0</v>
      </c>
      <c r="T1620" s="461">
        <v>0</v>
      </c>
      <c r="U1620" s="461">
        <v>0</v>
      </c>
      <c r="V1620" s="461">
        <v>0</v>
      </c>
    </row>
    <row r="1621" spans="1:22" s="455" customFormat="1" hidden="1">
      <c r="A1621" s="455" t="str">
        <f t="shared" si="50"/>
        <v>19705021510520</v>
      </c>
      <c r="B1621" s="455" t="str">
        <f>VLOOKUP(LEFT($C$3:$C$2600,3),Table!$D$2:$E$88,2,FALSE)</f>
        <v>3rd Party Contracted Metal</v>
      </c>
      <c r="C1621" s="455" t="str">
        <f t="shared" si="51"/>
        <v>5021510520</v>
      </c>
      <c r="D1621" s="455" t="e">
        <f>VLOOKUP(G1621,Table!$G$3:$H$21,2,FALSE)</f>
        <v>#N/A</v>
      </c>
      <c r="E1621" s="452" t="s">
        <v>902</v>
      </c>
      <c r="F1621" s="452" t="s">
        <v>1965</v>
      </c>
      <c r="G1621" s="452" t="s">
        <v>1808</v>
      </c>
      <c r="H1621" s="452" t="s">
        <v>1809</v>
      </c>
      <c r="I1621" s="453" t="s">
        <v>844</v>
      </c>
      <c r="J1621" s="453">
        <v>16624.18</v>
      </c>
      <c r="K1621" s="461">
        <v>7912.92</v>
      </c>
      <c r="L1621" s="461">
        <v>4123.26</v>
      </c>
      <c r="M1621" s="461">
        <v>4588</v>
      </c>
      <c r="N1621" s="461">
        <v>0</v>
      </c>
      <c r="O1621" s="461">
        <v>0</v>
      </c>
      <c r="P1621" s="461">
        <v>0</v>
      </c>
      <c r="Q1621" s="461">
        <v>0</v>
      </c>
      <c r="R1621" s="461">
        <v>0</v>
      </c>
      <c r="S1621" s="461">
        <v>0</v>
      </c>
      <c r="T1621" s="461">
        <v>0</v>
      </c>
      <c r="U1621" s="461">
        <v>0</v>
      </c>
      <c r="V1621" s="461">
        <v>0</v>
      </c>
    </row>
    <row r="1622" spans="1:22" s="455" customFormat="1" hidden="1">
      <c r="A1622" s="455" t="str">
        <f t="shared" si="50"/>
        <v>19705021610211</v>
      </c>
      <c r="B1622" s="455" t="str">
        <f>VLOOKUP(LEFT($C$3:$C$2600,3),Table!$D$2:$E$88,2,FALSE)</f>
        <v>3rd Party Contracted Metal</v>
      </c>
      <c r="C1622" s="455" t="str">
        <f t="shared" si="51"/>
        <v>5021610211</v>
      </c>
      <c r="D1622" s="455" t="e">
        <f>VLOOKUP(G1622,Table!$G$3:$H$21,2,FALSE)</f>
        <v>#N/A</v>
      </c>
      <c r="E1622" s="452" t="s">
        <v>902</v>
      </c>
      <c r="F1622" s="452" t="s">
        <v>1965</v>
      </c>
      <c r="G1622" s="452" t="s">
        <v>2586</v>
      </c>
      <c r="H1622" s="452" t="s">
        <v>2587</v>
      </c>
      <c r="I1622" s="453" t="s">
        <v>844</v>
      </c>
      <c r="J1622" s="453">
        <v>202.85</v>
      </c>
      <c r="K1622" s="461">
        <v>0</v>
      </c>
      <c r="L1622" s="461">
        <v>0</v>
      </c>
      <c r="M1622" s="461">
        <v>202.85</v>
      </c>
      <c r="N1622" s="461">
        <v>0</v>
      </c>
      <c r="O1622" s="461">
        <v>0</v>
      </c>
      <c r="P1622" s="461">
        <v>0</v>
      </c>
      <c r="Q1622" s="461">
        <v>0</v>
      </c>
      <c r="R1622" s="461">
        <v>0</v>
      </c>
      <c r="S1622" s="461">
        <v>0</v>
      </c>
      <c r="T1622" s="461">
        <v>0</v>
      </c>
      <c r="U1622" s="461">
        <v>0</v>
      </c>
      <c r="V1622" s="461">
        <v>0</v>
      </c>
    </row>
    <row r="1623" spans="1:22" s="455" customFormat="1" hidden="1">
      <c r="A1623" s="455" t="str">
        <f t="shared" si="50"/>
        <v>19705031005011</v>
      </c>
      <c r="B1623" s="455" t="str">
        <f>VLOOKUP(LEFT($C$3:$C$2600,3),Table!$D$2:$E$88,2,FALSE)</f>
        <v>Melt Loss</v>
      </c>
      <c r="C1623" s="455" t="str">
        <f t="shared" si="51"/>
        <v>5031005011</v>
      </c>
      <c r="D1623" s="455" t="e">
        <f>VLOOKUP(G1623,Table!$G$3:$H$21,2,FALSE)</f>
        <v>#N/A</v>
      </c>
      <c r="E1623" s="452" t="s">
        <v>902</v>
      </c>
      <c r="F1623" s="452" t="s">
        <v>1965</v>
      </c>
      <c r="G1623" s="452" t="s">
        <v>1818</v>
      </c>
      <c r="H1623" s="452" t="s">
        <v>1819</v>
      </c>
      <c r="I1623" s="453" t="s">
        <v>844</v>
      </c>
      <c r="J1623" s="453">
        <v>34852.25</v>
      </c>
      <c r="K1623" s="461">
        <v>9025.9699999999993</v>
      </c>
      <c r="L1623" s="461">
        <v>19648.96</v>
      </c>
      <c r="M1623" s="461">
        <v>6177.32</v>
      </c>
      <c r="N1623" s="461">
        <v>0</v>
      </c>
      <c r="O1623" s="461">
        <v>0</v>
      </c>
      <c r="P1623" s="461">
        <v>0</v>
      </c>
      <c r="Q1623" s="461">
        <v>0</v>
      </c>
      <c r="R1623" s="461">
        <v>0</v>
      </c>
      <c r="S1623" s="461">
        <v>0</v>
      </c>
      <c r="T1623" s="461">
        <v>0</v>
      </c>
      <c r="U1623" s="461">
        <v>0</v>
      </c>
      <c r="V1623" s="461">
        <v>0</v>
      </c>
    </row>
    <row r="1624" spans="1:22" s="455" customFormat="1" hidden="1">
      <c r="A1624" s="455" t="str">
        <f t="shared" si="50"/>
        <v>19705031010211</v>
      </c>
      <c r="B1624" s="455" t="str">
        <f>VLOOKUP(LEFT($C$3:$C$2600,3),Table!$D$2:$E$88,2,FALSE)</f>
        <v>Melt Loss</v>
      </c>
      <c r="C1624" s="455" t="str">
        <f t="shared" si="51"/>
        <v>5031010211</v>
      </c>
      <c r="D1624" s="455" t="e">
        <f>VLOOKUP(G1624,Table!$G$3:$H$21,2,FALSE)</f>
        <v>#N/A</v>
      </c>
      <c r="E1624" s="452" t="s">
        <v>902</v>
      </c>
      <c r="F1624" s="452" t="s">
        <v>1965</v>
      </c>
      <c r="G1624" s="452" t="s">
        <v>1820</v>
      </c>
      <c r="H1624" s="452" t="s">
        <v>1821</v>
      </c>
      <c r="I1624" s="453" t="s">
        <v>844</v>
      </c>
      <c r="J1624" s="453">
        <v>11801.47</v>
      </c>
      <c r="K1624" s="461">
        <v>6070.91</v>
      </c>
      <c r="L1624" s="461">
        <v>0</v>
      </c>
      <c r="M1624" s="461">
        <v>5730.56</v>
      </c>
      <c r="N1624" s="461">
        <v>0</v>
      </c>
      <c r="O1624" s="461">
        <v>0</v>
      </c>
      <c r="P1624" s="461">
        <v>0</v>
      </c>
      <c r="Q1624" s="461">
        <v>0</v>
      </c>
      <c r="R1624" s="461">
        <v>0</v>
      </c>
      <c r="S1624" s="461">
        <v>0</v>
      </c>
      <c r="T1624" s="461">
        <v>0</v>
      </c>
      <c r="U1624" s="461">
        <v>0</v>
      </c>
      <c r="V1624" s="461">
        <v>0</v>
      </c>
    </row>
    <row r="1625" spans="1:22" s="455" customFormat="1" hidden="1">
      <c r="A1625" s="455" t="str">
        <f t="shared" si="50"/>
        <v>19705031030011</v>
      </c>
      <c r="B1625" s="455" t="str">
        <f>VLOOKUP(LEFT($C$3:$C$2600,3),Table!$D$2:$E$88,2,FALSE)</f>
        <v>Melt Loss</v>
      </c>
      <c r="C1625" s="455" t="str">
        <f t="shared" si="51"/>
        <v>5031030011</v>
      </c>
      <c r="D1625" s="455" t="e">
        <f>VLOOKUP(G1625,Table!$G$3:$H$21,2,FALSE)</f>
        <v>#N/A</v>
      </c>
      <c r="E1625" s="452" t="s">
        <v>902</v>
      </c>
      <c r="F1625" s="452" t="s">
        <v>1965</v>
      </c>
      <c r="G1625" s="452" t="s">
        <v>1824</v>
      </c>
      <c r="H1625" s="452" t="s">
        <v>1825</v>
      </c>
      <c r="I1625" s="453" t="s">
        <v>844</v>
      </c>
      <c r="J1625" s="453">
        <v>20589.189999999999</v>
      </c>
      <c r="K1625" s="461">
        <v>11414.18</v>
      </c>
      <c r="L1625" s="461">
        <v>5522.98</v>
      </c>
      <c r="M1625" s="461">
        <v>3652.03</v>
      </c>
      <c r="N1625" s="461">
        <v>0</v>
      </c>
      <c r="O1625" s="461">
        <v>0</v>
      </c>
      <c r="P1625" s="461">
        <v>0</v>
      </c>
      <c r="Q1625" s="461">
        <v>0</v>
      </c>
      <c r="R1625" s="461">
        <v>0</v>
      </c>
      <c r="S1625" s="461">
        <v>0</v>
      </c>
      <c r="T1625" s="461">
        <v>0</v>
      </c>
      <c r="U1625" s="461">
        <v>0</v>
      </c>
      <c r="V1625" s="461">
        <v>0</v>
      </c>
    </row>
    <row r="1626" spans="1:22" s="455" customFormat="1" hidden="1">
      <c r="A1626" s="455" t="str">
        <f t="shared" si="50"/>
        <v>19705031510520</v>
      </c>
      <c r="B1626" s="455" t="str">
        <f>VLOOKUP(LEFT($C$3:$C$2600,3),Table!$D$2:$E$88,2,FALSE)</f>
        <v>Melt Loss</v>
      </c>
      <c r="C1626" s="455" t="str">
        <f t="shared" si="51"/>
        <v>5031510520</v>
      </c>
      <c r="D1626" s="455" t="e">
        <f>VLOOKUP(G1626,Table!$G$3:$H$21,2,FALSE)</f>
        <v>#N/A</v>
      </c>
      <c r="E1626" s="452" t="s">
        <v>902</v>
      </c>
      <c r="F1626" s="452" t="s">
        <v>1965</v>
      </c>
      <c r="G1626" s="452" t="s">
        <v>1832</v>
      </c>
      <c r="H1626" s="452" t="s">
        <v>1833</v>
      </c>
      <c r="I1626" s="453" t="s">
        <v>844</v>
      </c>
      <c r="J1626" s="453">
        <v>346267</v>
      </c>
      <c r="K1626" s="461">
        <v>121348.77</v>
      </c>
      <c r="L1626" s="461">
        <v>126111.84</v>
      </c>
      <c r="M1626" s="461">
        <v>98806.39</v>
      </c>
      <c r="N1626" s="461">
        <v>0</v>
      </c>
      <c r="O1626" s="461">
        <v>0</v>
      </c>
      <c r="P1626" s="461">
        <v>0</v>
      </c>
      <c r="Q1626" s="461">
        <v>0</v>
      </c>
      <c r="R1626" s="461">
        <v>0</v>
      </c>
      <c r="S1626" s="461">
        <v>0</v>
      </c>
      <c r="T1626" s="461">
        <v>0</v>
      </c>
      <c r="U1626" s="461">
        <v>0</v>
      </c>
      <c r="V1626" s="461">
        <v>0</v>
      </c>
    </row>
    <row r="1627" spans="1:22" s="455" customFormat="1" hidden="1">
      <c r="A1627" s="455" t="str">
        <f t="shared" si="50"/>
        <v>19705031610211</v>
      </c>
      <c r="B1627" s="455" t="str">
        <f>VLOOKUP(LEFT($C$3:$C$2600,3),Table!$D$2:$E$88,2,FALSE)</f>
        <v>Melt Loss</v>
      </c>
      <c r="C1627" s="455" t="str">
        <f t="shared" si="51"/>
        <v>5031610211</v>
      </c>
      <c r="D1627" s="455" t="e">
        <f>VLOOKUP(G1627,Table!$G$3:$H$21,2,FALSE)</f>
        <v>#N/A</v>
      </c>
      <c r="E1627" s="452" t="s">
        <v>902</v>
      </c>
      <c r="F1627" s="452" t="s">
        <v>1965</v>
      </c>
      <c r="G1627" s="452" t="s">
        <v>1836</v>
      </c>
      <c r="H1627" s="452" t="s">
        <v>1837</v>
      </c>
      <c r="I1627" s="453" t="s">
        <v>844</v>
      </c>
      <c r="J1627" s="453">
        <v>1231.6099999999999</v>
      </c>
      <c r="K1627" s="461">
        <v>216.16</v>
      </c>
      <c r="L1627" s="461">
        <v>0</v>
      </c>
      <c r="M1627" s="461">
        <v>1015.45</v>
      </c>
      <c r="N1627" s="461">
        <v>0</v>
      </c>
      <c r="O1627" s="461">
        <v>0</v>
      </c>
      <c r="P1627" s="461">
        <v>0</v>
      </c>
      <c r="Q1627" s="461">
        <v>0</v>
      </c>
      <c r="R1627" s="461">
        <v>0</v>
      </c>
      <c r="S1627" s="461">
        <v>0</v>
      </c>
      <c r="T1627" s="461">
        <v>0</v>
      </c>
      <c r="U1627" s="461">
        <v>0</v>
      </c>
      <c r="V1627" s="461">
        <v>0</v>
      </c>
    </row>
    <row r="1628" spans="1:22" s="455" customFormat="1" hidden="1">
      <c r="A1628" s="455" t="str">
        <f t="shared" si="50"/>
        <v>19705031610311</v>
      </c>
      <c r="B1628" s="455" t="str">
        <f>VLOOKUP(LEFT($C$3:$C$2600,3),Table!$D$2:$E$88,2,FALSE)</f>
        <v>Melt Loss</v>
      </c>
      <c r="C1628" s="455" t="str">
        <f t="shared" si="51"/>
        <v>5031610311</v>
      </c>
      <c r="D1628" s="455" t="e">
        <f>VLOOKUP(G1628,Table!$G$3:$H$21,2,FALSE)</f>
        <v>#N/A</v>
      </c>
      <c r="E1628" s="452" t="s">
        <v>902</v>
      </c>
      <c r="F1628" s="452" t="s">
        <v>1965</v>
      </c>
      <c r="G1628" s="452" t="s">
        <v>1838</v>
      </c>
      <c r="H1628" s="452" t="s">
        <v>2588</v>
      </c>
      <c r="I1628" s="453" t="s">
        <v>844</v>
      </c>
      <c r="J1628" s="453">
        <v>119.74</v>
      </c>
      <c r="K1628" s="461">
        <v>0</v>
      </c>
      <c r="L1628" s="461">
        <v>0</v>
      </c>
      <c r="M1628" s="461">
        <v>119.74</v>
      </c>
      <c r="N1628" s="461">
        <v>0</v>
      </c>
      <c r="O1628" s="461">
        <v>0</v>
      </c>
      <c r="P1628" s="461">
        <v>0</v>
      </c>
      <c r="Q1628" s="461">
        <v>0</v>
      </c>
      <c r="R1628" s="461">
        <v>0</v>
      </c>
      <c r="S1628" s="461">
        <v>0</v>
      </c>
      <c r="T1628" s="461">
        <v>0</v>
      </c>
      <c r="U1628" s="461">
        <v>0</v>
      </c>
      <c r="V1628" s="461">
        <v>0</v>
      </c>
    </row>
    <row r="1629" spans="1:22" s="455" customFormat="1" hidden="1">
      <c r="A1629" s="455" t="str">
        <f t="shared" si="50"/>
        <v>19705041005011</v>
      </c>
      <c r="B1629" s="455" t="str">
        <f>VLOOKUP(LEFT($C$3:$C$2600,3),Table!$D$2:$E$88,2,FALSE)</f>
        <v>3rd Party Contracted Metal</v>
      </c>
      <c r="C1629" s="455" t="str">
        <f t="shared" si="51"/>
        <v>5041005011</v>
      </c>
      <c r="D1629" s="455" t="e">
        <f>VLOOKUP(G1629,Table!$G$3:$H$21,2,FALSE)</f>
        <v>#N/A</v>
      </c>
      <c r="E1629" s="452" t="s">
        <v>902</v>
      </c>
      <c r="F1629" s="452" t="s">
        <v>1965</v>
      </c>
      <c r="G1629" s="452" t="s">
        <v>1839</v>
      </c>
      <c r="H1629" s="452" t="s">
        <v>1840</v>
      </c>
      <c r="I1629" s="453" t="s">
        <v>844</v>
      </c>
      <c r="J1629" s="453">
        <v>-42561.97</v>
      </c>
      <c r="K1629" s="461">
        <v>-16223.58</v>
      </c>
      <c r="L1629" s="461">
        <v>-18420.82</v>
      </c>
      <c r="M1629" s="461">
        <v>-7917.57</v>
      </c>
      <c r="N1629" s="461">
        <v>0</v>
      </c>
      <c r="O1629" s="461">
        <v>0</v>
      </c>
      <c r="P1629" s="461">
        <v>0</v>
      </c>
      <c r="Q1629" s="461">
        <v>0</v>
      </c>
      <c r="R1629" s="461">
        <v>0</v>
      </c>
      <c r="S1629" s="461">
        <v>0</v>
      </c>
      <c r="T1629" s="461">
        <v>0</v>
      </c>
      <c r="U1629" s="461">
        <v>0</v>
      </c>
      <c r="V1629" s="461">
        <v>0</v>
      </c>
    </row>
    <row r="1630" spans="1:22" s="455" customFormat="1" hidden="1">
      <c r="A1630" s="455" t="str">
        <f t="shared" si="50"/>
        <v>19705041010211</v>
      </c>
      <c r="B1630" s="455" t="str">
        <f>VLOOKUP(LEFT($C$3:$C$2600,3),Table!$D$2:$E$88,2,FALSE)</f>
        <v>3rd Party Contracted Metal</v>
      </c>
      <c r="C1630" s="455" t="str">
        <f t="shared" si="51"/>
        <v>5041010211</v>
      </c>
      <c r="D1630" s="455" t="e">
        <f>VLOOKUP(G1630,Table!$G$3:$H$21,2,FALSE)</f>
        <v>#N/A</v>
      </c>
      <c r="E1630" s="452" t="s">
        <v>902</v>
      </c>
      <c r="F1630" s="452" t="s">
        <v>1965</v>
      </c>
      <c r="G1630" s="452" t="s">
        <v>1841</v>
      </c>
      <c r="H1630" s="452" t="s">
        <v>1842</v>
      </c>
      <c r="I1630" s="453" t="s">
        <v>844</v>
      </c>
      <c r="J1630" s="453">
        <v>-18257.25</v>
      </c>
      <c r="K1630" s="461">
        <v>-10912.61</v>
      </c>
      <c r="L1630" s="461">
        <v>0</v>
      </c>
      <c r="M1630" s="461">
        <v>-7344.64</v>
      </c>
      <c r="N1630" s="461">
        <v>0</v>
      </c>
      <c r="O1630" s="461">
        <v>0</v>
      </c>
      <c r="P1630" s="461">
        <v>0</v>
      </c>
      <c r="Q1630" s="461">
        <v>0</v>
      </c>
      <c r="R1630" s="461">
        <v>0</v>
      </c>
      <c r="S1630" s="461">
        <v>0</v>
      </c>
      <c r="T1630" s="461">
        <v>0</v>
      </c>
      <c r="U1630" s="461">
        <v>0</v>
      </c>
      <c r="V1630" s="461">
        <v>0</v>
      </c>
    </row>
    <row r="1631" spans="1:22" s="455" customFormat="1" hidden="1">
      <c r="A1631" s="455" t="str">
        <f t="shared" si="50"/>
        <v>19705041030011</v>
      </c>
      <c r="B1631" s="455" t="str">
        <f>VLOOKUP(LEFT($C$3:$C$2600,3),Table!$D$2:$E$88,2,FALSE)</f>
        <v>3rd Party Contracted Metal</v>
      </c>
      <c r="C1631" s="455" t="str">
        <f t="shared" si="51"/>
        <v>5041030011</v>
      </c>
      <c r="D1631" s="455" t="e">
        <f>VLOOKUP(G1631,Table!$G$3:$H$21,2,FALSE)</f>
        <v>#N/A</v>
      </c>
      <c r="E1631" s="452" t="s">
        <v>902</v>
      </c>
      <c r="F1631" s="452" t="s">
        <v>1965</v>
      </c>
      <c r="G1631" s="452" t="s">
        <v>1845</v>
      </c>
      <c r="H1631" s="452" t="s">
        <v>1846</v>
      </c>
      <c r="I1631" s="453" t="s">
        <v>844</v>
      </c>
      <c r="J1631" s="453">
        <v>-30375.88</v>
      </c>
      <c r="K1631" s="461">
        <v>-20517.38</v>
      </c>
      <c r="L1631" s="461">
        <v>-5177.7</v>
      </c>
      <c r="M1631" s="461">
        <v>-4680.8</v>
      </c>
      <c r="N1631" s="461">
        <v>0</v>
      </c>
      <c r="O1631" s="461">
        <v>0</v>
      </c>
      <c r="P1631" s="461">
        <v>0</v>
      </c>
      <c r="Q1631" s="461">
        <v>0</v>
      </c>
      <c r="R1631" s="461">
        <v>0</v>
      </c>
      <c r="S1631" s="461">
        <v>0</v>
      </c>
      <c r="T1631" s="461">
        <v>0</v>
      </c>
      <c r="U1631" s="461">
        <v>0</v>
      </c>
      <c r="V1631" s="461">
        <v>0</v>
      </c>
    </row>
    <row r="1632" spans="1:22" s="455" customFormat="1" hidden="1">
      <c r="A1632" s="455" t="str">
        <f t="shared" si="50"/>
        <v>19705041510520</v>
      </c>
      <c r="B1632" s="455" t="str">
        <f>VLOOKUP(LEFT($C$3:$C$2600,3),Table!$D$2:$E$88,2,FALSE)</f>
        <v>3rd Party Contracted Metal</v>
      </c>
      <c r="C1632" s="455" t="str">
        <f t="shared" si="51"/>
        <v>5041510520</v>
      </c>
      <c r="D1632" s="455" t="e">
        <f>VLOOKUP(G1632,Table!$G$3:$H$21,2,FALSE)</f>
        <v>#N/A</v>
      </c>
      <c r="E1632" s="452" t="s">
        <v>902</v>
      </c>
      <c r="F1632" s="452" t="s">
        <v>1965</v>
      </c>
      <c r="G1632" s="452" t="s">
        <v>1853</v>
      </c>
      <c r="H1632" s="452" t="s">
        <v>1854</v>
      </c>
      <c r="I1632" s="453" t="s">
        <v>844</v>
      </c>
      <c r="J1632" s="453">
        <v>-462992.22</v>
      </c>
      <c r="K1632" s="461">
        <v>-218126.1</v>
      </c>
      <c r="L1632" s="461">
        <v>-118227.8</v>
      </c>
      <c r="M1632" s="461">
        <v>-126638.32</v>
      </c>
      <c r="N1632" s="461">
        <v>0</v>
      </c>
      <c r="O1632" s="461">
        <v>0</v>
      </c>
      <c r="P1632" s="461">
        <v>0</v>
      </c>
      <c r="Q1632" s="461">
        <v>0</v>
      </c>
      <c r="R1632" s="461">
        <v>0</v>
      </c>
      <c r="S1632" s="461">
        <v>0</v>
      </c>
      <c r="T1632" s="461">
        <v>0</v>
      </c>
      <c r="U1632" s="461">
        <v>0</v>
      </c>
      <c r="V1632" s="461">
        <v>0</v>
      </c>
    </row>
    <row r="1633" spans="1:22" s="455" customFormat="1" hidden="1">
      <c r="A1633" s="455" t="str">
        <f t="shared" si="50"/>
        <v>19705041610211</v>
      </c>
      <c r="B1633" s="455" t="str">
        <f>VLOOKUP(LEFT($C$3:$C$2600,3),Table!$D$2:$E$88,2,FALSE)</f>
        <v>3rd Party Contracted Metal</v>
      </c>
      <c r="C1633" s="455" t="str">
        <f t="shared" si="51"/>
        <v>5041610211</v>
      </c>
      <c r="D1633" s="455" t="e">
        <f>VLOOKUP(G1633,Table!$G$3:$H$21,2,FALSE)</f>
        <v>#N/A</v>
      </c>
      <c r="E1633" s="452" t="s">
        <v>902</v>
      </c>
      <c r="F1633" s="452" t="s">
        <v>1965</v>
      </c>
      <c r="G1633" s="452" t="s">
        <v>1857</v>
      </c>
      <c r="H1633" s="452" t="s">
        <v>1858</v>
      </c>
      <c r="I1633" s="453" t="s">
        <v>844</v>
      </c>
      <c r="J1633" s="453">
        <v>-1690.13</v>
      </c>
      <c r="K1633" s="461">
        <v>-388.56</v>
      </c>
      <c r="L1633" s="461">
        <v>0</v>
      </c>
      <c r="M1633" s="461">
        <v>-1301.57</v>
      </c>
      <c r="N1633" s="461">
        <v>0</v>
      </c>
      <c r="O1633" s="461">
        <v>0</v>
      </c>
      <c r="P1633" s="461">
        <v>0</v>
      </c>
      <c r="Q1633" s="461">
        <v>0</v>
      </c>
      <c r="R1633" s="461">
        <v>0</v>
      </c>
      <c r="S1633" s="461">
        <v>0</v>
      </c>
      <c r="T1633" s="461">
        <v>0</v>
      </c>
      <c r="U1633" s="461">
        <v>0</v>
      </c>
      <c r="V1633" s="461">
        <v>0</v>
      </c>
    </row>
    <row r="1634" spans="1:22" s="455" customFormat="1" hidden="1">
      <c r="A1634" s="455" t="str">
        <f t="shared" si="50"/>
        <v>19705041610311</v>
      </c>
      <c r="B1634" s="455" t="str">
        <f>VLOOKUP(LEFT($C$3:$C$2600,3),Table!$D$2:$E$88,2,FALSE)</f>
        <v>3rd Party Contracted Metal</v>
      </c>
      <c r="C1634" s="455" t="str">
        <f t="shared" si="51"/>
        <v>5041610311</v>
      </c>
      <c r="D1634" s="455" t="e">
        <f>VLOOKUP(G1634,Table!$G$3:$H$21,2,FALSE)</f>
        <v>#N/A</v>
      </c>
      <c r="E1634" s="452" t="s">
        <v>902</v>
      </c>
      <c r="F1634" s="452" t="s">
        <v>1965</v>
      </c>
      <c r="G1634" s="452" t="s">
        <v>1859</v>
      </c>
      <c r="H1634" s="452" t="s">
        <v>2589</v>
      </c>
      <c r="I1634" s="453" t="s">
        <v>844</v>
      </c>
      <c r="J1634" s="453">
        <v>-153.4</v>
      </c>
      <c r="K1634" s="461">
        <v>0</v>
      </c>
      <c r="L1634" s="461">
        <v>0</v>
      </c>
      <c r="M1634" s="461">
        <v>-153.4</v>
      </c>
      <c r="N1634" s="461">
        <v>0</v>
      </c>
      <c r="O1634" s="461">
        <v>0</v>
      </c>
      <c r="P1634" s="461">
        <v>0</v>
      </c>
      <c r="Q1634" s="461">
        <v>0</v>
      </c>
      <c r="R1634" s="461">
        <v>0</v>
      </c>
      <c r="S1634" s="461">
        <v>0</v>
      </c>
      <c r="T1634" s="461">
        <v>0</v>
      </c>
      <c r="U1634" s="461">
        <v>0</v>
      </c>
      <c r="V1634" s="461">
        <v>0</v>
      </c>
    </row>
    <row r="1635" spans="1:22" s="455" customFormat="1" hidden="1">
      <c r="A1635" s="455" t="str">
        <f t="shared" si="50"/>
        <v>19705051005011</v>
      </c>
      <c r="B1635" s="455" t="str">
        <f>VLOOKUP(LEFT($C$3:$C$2600,3),Table!$D$2:$E$88,2,FALSE)</f>
        <v>Dross Savings</v>
      </c>
      <c r="C1635" s="455" t="str">
        <f t="shared" si="51"/>
        <v>5051005011</v>
      </c>
      <c r="D1635" s="455" t="e">
        <f>VLOOKUP(G1635,Table!$G$3:$H$21,2,FALSE)</f>
        <v>#N/A</v>
      </c>
      <c r="E1635" s="452" t="s">
        <v>902</v>
      </c>
      <c r="F1635" s="452" t="s">
        <v>1965</v>
      </c>
      <c r="G1635" s="452" t="s">
        <v>1860</v>
      </c>
      <c r="H1635" s="452" t="s">
        <v>1861</v>
      </c>
      <c r="I1635" s="453" t="s">
        <v>844</v>
      </c>
      <c r="J1635" s="453">
        <v>-11882.04</v>
      </c>
      <c r="K1635" s="461">
        <v>-4642.75</v>
      </c>
      <c r="L1635" s="461">
        <v>-3955.77</v>
      </c>
      <c r="M1635" s="461">
        <v>-3283.52</v>
      </c>
      <c r="N1635" s="461">
        <v>0</v>
      </c>
      <c r="O1635" s="461">
        <v>0</v>
      </c>
      <c r="P1635" s="461">
        <v>0</v>
      </c>
      <c r="Q1635" s="461">
        <v>0</v>
      </c>
      <c r="R1635" s="461">
        <v>0</v>
      </c>
      <c r="S1635" s="461">
        <v>0</v>
      </c>
      <c r="T1635" s="461">
        <v>0</v>
      </c>
      <c r="U1635" s="461">
        <v>0</v>
      </c>
      <c r="V1635" s="461">
        <v>0</v>
      </c>
    </row>
    <row r="1636" spans="1:22" s="455" customFormat="1" hidden="1">
      <c r="A1636" s="455" t="str">
        <f t="shared" si="50"/>
        <v>19705051010211</v>
      </c>
      <c r="B1636" s="455" t="str">
        <f>VLOOKUP(LEFT($C$3:$C$2600,3),Table!$D$2:$E$88,2,FALSE)</f>
        <v>Dross Savings</v>
      </c>
      <c r="C1636" s="455" t="str">
        <f t="shared" si="51"/>
        <v>5051010211</v>
      </c>
      <c r="D1636" s="455" t="e">
        <f>VLOOKUP(G1636,Table!$G$3:$H$21,2,FALSE)</f>
        <v>#N/A</v>
      </c>
      <c r="E1636" s="452" t="s">
        <v>902</v>
      </c>
      <c r="F1636" s="452" t="s">
        <v>1965</v>
      </c>
      <c r="G1636" s="452" t="s">
        <v>1862</v>
      </c>
      <c r="H1636" s="452" t="s">
        <v>1863</v>
      </c>
      <c r="I1636" s="453" t="s">
        <v>844</v>
      </c>
      <c r="J1636" s="453">
        <v>-6168.55</v>
      </c>
      <c r="K1636" s="461">
        <v>-3122.48</v>
      </c>
      <c r="L1636" s="461">
        <v>0</v>
      </c>
      <c r="M1636" s="461">
        <v>-3046.07</v>
      </c>
      <c r="N1636" s="461">
        <v>0</v>
      </c>
      <c r="O1636" s="461">
        <v>0</v>
      </c>
      <c r="P1636" s="461">
        <v>0</v>
      </c>
      <c r="Q1636" s="461">
        <v>0</v>
      </c>
      <c r="R1636" s="461">
        <v>0</v>
      </c>
      <c r="S1636" s="461">
        <v>0</v>
      </c>
      <c r="T1636" s="461">
        <v>0</v>
      </c>
      <c r="U1636" s="461">
        <v>0</v>
      </c>
      <c r="V1636" s="461">
        <v>0</v>
      </c>
    </row>
    <row r="1637" spans="1:22" s="455" customFormat="1" hidden="1">
      <c r="A1637" s="455" t="str">
        <f t="shared" si="50"/>
        <v>19705051030011</v>
      </c>
      <c r="B1637" s="455" t="str">
        <f>VLOOKUP(LEFT($C$3:$C$2600,3),Table!$D$2:$E$88,2,FALSE)</f>
        <v>Dross Savings</v>
      </c>
      <c r="C1637" s="455" t="str">
        <f t="shared" si="51"/>
        <v>5051030011</v>
      </c>
      <c r="D1637" s="455" t="e">
        <f>VLOOKUP(G1637,Table!$G$3:$H$21,2,FALSE)</f>
        <v>#N/A</v>
      </c>
      <c r="E1637" s="452" t="s">
        <v>902</v>
      </c>
      <c r="F1637" s="452" t="s">
        <v>1965</v>
      </c>
      <c r="G1637" s="452" t="s">
        <v>1866</v>
      </c>
      <c r="H1637" s="452" t="s">
        <v>1867</v>
      </c>
      <c r="I1637" s="453" t="s">
        <v>844</v>
      </c>
      <c r="J1637" s="453">
        <v>-8924.07</v>
      </c>
      <c r="K1637" s="461">
        <v>-5870.84</v>
      </c>
      <c r="L1637" s="461">
        <v>-1111.95</v>
      </c>
      <c r="M1637" s="461">
        <v>-1941.28</v>
      </c>
      <c r="N1637" s="461">
        <v>0</v>
      </c>
      <c r="O1637" s="461">
        <v>0</v>
      </c>
      <c r="P1637" s="461">
        <v>0</v>
      </c>
      <c r="Q1637" s="461">
        <v>0</v>
      </c>
      <c r="R1637" s="461">
        <v>0</v>
      </c>
      <c r="S1637" s="461">
        <v>0</v>
      </c>
      <c r="T1637" s="461">
        <v>0</v>
      </c>
      <c r="U1637" s="461">
        <v>0</v>
      </c>
      <c r="V1637" s="461">
        <v>0</v>
      </c>
    </row>
    <row r="1638" spans="1:22" s="455" customFormat="1" hidden="1">
      <c r="A1638" s="455" t="str">
        <f t="shared" si="50"/>
        <v>19705051510520</v>
      </c>
      <c r="B1638" s="455" t="str">
        <f>VLOOKUP(LEFT($C$3:$C$2600,3),Table!$D$2:$E$88,2,FALSE)</f>
        <v>Dross Savings</v>
      </c>
      <c r="C1638" s="455" t="str">
        <f t="shared" si="51"/>
        <v>5051510520</v>
      </c>
      <c r="D1638" s="455" t="e">
        <f>VLOOKUP(G1638,Table!$G$3:$H$21,2,FALSE)</f>
        <v>#N/A</v>
      </c>
      <c r="E1638" s="452" t="s">
        <v>902</v>
      </c>
      <c r="F1638" s="452" t="s">
        <v>1965</v>
      </c>
      <c r="G1638" s="452" t="s">
        <v>1874</v>
      </c>
      <c r="H1638" s="452" t="s">
        <v>1875</v>
      </c>
      <c r="I1638" s="453" t="s">
        <v>844</v>
      </c>
      <c r="J1638" s="453">
        <v>-140327.60999999999</v>
      </c>
      <c r="K1638" s="461">
        <v>-62415.12</v>
      </c>
      <c r="L1638" s="461">
        <v>-25390.43</v>
      </c>
      <c r="M1638" s="461">
        <v>-52522.06</v>
      </c>
      <c r="N1638" s="461">
        <v>0</v>
      </c>
      <c r="O1638" s="461">
        <v>0</v>
      </c>
      <c r="P1638" s="461">
        <v>0</v>
      </c>
      <c r="Q1638" s="461">
        <v>0</v>
      </c>
      <c r="R1638" s="461">
        <v>0</v>
      </c>
      <c r="S1638" s="461">
        <v>0</v>
      </c>
      <c r="T1638" s="461">
        <v>0</v>
      </c>
      <c r="U1638" s="461">
        <v>0</v>
      </c>
      <c r="V1638" s="461">
        <v>0</v>
      </c>
    </row>
    <row r="1639" spans="1:22" s="455" customFormat="1" hidden="1">
      <c r="A1639" s="455" t="str">
        <f t="shared" si="50"/>
        <v>19705051610211</v>
      </c>
      <c r="B1639" s="455" t="str">
        <f>VLOOKUP(LEFT($C$3:$C$2600,3),Table!$D$2:$E$88,2,FALSE)</f>
        <v>Dross Savings</v>
      </c>
      <c r="C1639" s="455" t="str">
        <f t="shared" si="51"/>
        <v>5051610211</v>
      </c>
      <c r="D1639" s="455" t="e">
        <f>VLOOKUP(G1639,Table!$G$3:$H$21,2,FALSE)</f>
        <v>#N/A</v>
      </c>
      <c r="E1639" s="452" t="s">
        <v>902</v>
      </c>
      <c r="F1639" s="452" t="s">
        <v>1965</v>
      </c>
      <c r="G1639" s="452" t="s">
        <v>1878</v>
      </c>
      <c r="H1639" s="452" t="s">
        <v>1879</v>
      </c>
      <c r="I1639" s="453" t="s">
        <v>844</v>
      </c>
      <c r="J1639" s="453">
        <v>-650.91999999999996</v>
      </c>
      <c r="K1639" s="461">
        <v>-111.18</v>
      </c>
      <c r="L1639" s="461">
        <v>0</v>
      </c>
      <c r="M1639" s="461">
        <v>-539.74</v>
      </c>
      <c r="N1639" s="461">
        <v>0</v>
      </c>
      <c r="O1639" s="461">
        <v>0</v>
      </c>
      <c r="P1639" s="461">
        <v>0</v>
      </c>
      <c r="Q1639" s="461">
        <v>0</v>
      </c>
      <c r="R1639" s="461">
        <v>0</v>
      </c>
      <c r="S1639" s="461">
        <v>0</v>
      </c>
      <c r="T1639" s="461">
        <v>0</v>
      </c>
      <c r="U1639" s="461">
        <v>0</v>
      </c>
      <c r="V1639" s="461">
        <v>0</v>
      </c>
    </row>
    <row r="1640" spans="1:22" s="455" customFormat="1" hidden="1">
      <c r="A1640" s="455" t="str">
        <f t="shared" si="50"/>
        <v>19705051610311</v>
      </c>
      <c r="B1640" s="455" t="str">
        <f>VLOOKUP(LEFT($C$3:$C$2600,3),Table!$D$2:$E$88,2,FALSE)</f>
        <v>Dross Savings</v>
      </c>
      <c r="C1640" s="455" t="str">
        <f t="shared" si="51"/>
        <v>5051610311</v>
      </c>
      <c r="D1640" s="455" t="e">
        <f>VLOOKUP(G1640,Table!$G$3:$H$21,2,FALSE)</f>
        <v>#N/A</v>
      </c>
      <c r="E1640" s="452" t="s">
        <v>902</v>
      </c>
      <c r="F1640" s="452" t="s">
        <v>1965</v>
      </c>
      <c r="G1640" s="452" t="s">
        <v>1880</v>
      </c>
      <c r="H1640" s="452" t="s">
        <v>2590</v>
      </c>
      <c r="I1640" s="453" t="s">
        <v>844</v>
      </c>
      <c r="J1640" s="453">
        <v>-63.51</v>
      </c>
      <c r="K1640" s="461">
        <v>0</v>
      </c>
      <c r="L1640" s="461">
        <v>0</v>
      </c>
      <c r="M1640" s="461">
        <v>-63.51</v>
      </c>
      <c r="N1640" s="461">
        <v>0</v>
      </c>
      <c r="O1640" s="461">
        <v>0</v>
      </c>
      <c r="P1640" s="461">
        <v>0</v>
      </c>
      <c r="Q1640" s="461">
        <v>0</v>
      </c>
      <c r="R1640" s="461">
        <v>0</v>
      </c>
      <c r="S1640" s="461">
        <v>0</v>
      </c>
      <c r="T1640" s="461">
        <v>0</v>
      </c>
      <c r="U1640" s="461">
        <v>0</v>
      </c>
      <c r="V1640" s="461">
        <v>0</v>
      </c>
    </row>
    <row r="1641" spans="1:22" s="455" customFormat="1" hidden="1">
      <c r="A1641" s="455" t="str">
        <f t="shared" si="50"/>
        <v>19705111005011</v>
      </c>
      <c r="B1641" s="455" t="str">
        <f>VLOOKUP(LEFT($C$3:$C$2600,3),Table!$D$2:$E$88,2,FALSE)</f>
        <v>Direct cost</v>
      </c>
      <c r="C1641" s="455" t="str">
        <f t="shared" si="51"/>
        <v>5111005011</v>
      </c>
      <c r="D1641" s="455" t="e">
        <f>VLOOKUP(G1641,Table!$G$3:$H$21,2,FALSE)</f>
        <v>#N/A</v>
      </c>
      <c r="E1641" s="452" t="s">
        <v>902</v>
      </c>
      <c r="F1641" s="452" t="s">
        <v>1965</v>
      </c>
      <c r="G1641" s="452" t="s">
        <v>1881</v>
      </c>
      <c r="H1641" s="452" t="s">
        <v>1882</v>
      </c>
      <c r="I1641" s="453" t="s">
        <v>844</v>
      </c>
      <c r="J1641" s="453">
        <v>126846.44</v>
      </c>
      <c r="K1641" s="461">
        <v>45591.44</v>
      </c>
      <c r="L1641" s="461">
        <v>53941.73</v>
      </c>
      <c r="M1641" s="461">
        <v>27313.27</v>
      </c>
      <c r="N1641" s="461">
        <v>0</v>
      </c>
      <c r="O1641" s="461">
        <v>0</v>
      </c>
      <c r="P1641" s="461">
        <v>0</v>
      </c>
      <c r="Q1641" s="461">
        <v>0</v>
      </c>
      <c r="R1641" s="461">
        <v>0</v>
      </c>
      <c r="S1641" s="461">
        <v>0</v>
      </c>
      <c r="T1641" s="461">
        <v>0</v>
      </c>
      <c r="U1641" s="461">
        <v>0</v>
      </c>
      <c r="V1641" s="461">
        <v>0</v>
      </c>
    </row>
    <row r="1642" spans="1:22" s="455" customFormat="1" hidden="1">
      <c r="A1642" s="455" t="str">
        <f t="shared" si="50"/>
        <v>19705111010211</v>
      </c>
      <c r="B1642" s="455" t="str">
        <f>VLOOKUP(LEFT($C$3:$C$2600,3),Table!$D$2:$E$88,2,FALSE)</f>
        <v>Direct cost</v>
      </c>
      <c r="C1642" s="455" t="str">
        <f t="shared" si="51"/>
        <v>5111010211</v>
      </c>
      <c r="D1642" s="455" t="e">
        <f>VLOOKUP(G1642,Table!$G$3:$H$21,2,FALSE)</f>
        <v>#N/A</v>
      </c>
      <c r="E1642" s="452" t="s">
        <v>902</v>
      </c>
      <c r="F1642" s="452" t="s">
        <v>1965</v>
      </c>
      <c r="G1642" s="452" t="s">
        <v>1883</v>
      </c>
      <c r="H1642" s="452" t="s">
        <v>1884</v>
      </c>
      <c r="I1642" s="453" t="s">
        <v>844</v>
      </c>
      <c r="J1642" s="453">
        <v>54286.75</v>
      </c>
      <c r="K1642" s="461">
        <v>25998.959999999999</v>
      </c>
      <c r="L1642" s="461">
        <v>0</v>
      </c>
      <c r="M1642" s="461">
        <v>28287.79</v>
      </c>
      <c r="N1642" s="461">
        <v>0</v>
      </c>
      <c r="O1642" s="461">
        <v>0</v>
      </c>
      <c r="P1642" s="461">
        <v>0</v>
      </c>
      <c r="Q1642" s="461">
        <v>0</v>
      </c>
      <c r="R1642" s="461">
        <v>0</v>
      </c>
      <c r="S1642" s="461">
        <v>0</v>
      </c>
      <c r="T1642" s="461">
        <v>0</v>
      </c>
      <c r="U1642" s="461">
        <v>0</v>
      </c>
      <c r="V1642" s="461">
        <v>0</v>
      </c>
    </row>
    <row r="1643" spans="1:22" s="455" customFormat="1" hidden="1">
      <c r="A1643" s="455" t="str">
        <f t="shared" si="50"/>
        <v>19705111030011</v>
      </c>
      <c r="B1643" s="455" t="str">
        <f>VLOOKUP(LEFT($C$3:$C$2600,3),Table!$D$2:$E$88,2,FALSE)</f>
        <v>Direct cost</v>
      </c>
      <c r="C1643" s="455" t="str">
        <f t="shared" si="51"/>
        <v>5111030011</v>
      </c>
      <c r="D1643" s="455" t="e">
        <f>VLOOKUP(G1643,Table!$G$3:$H$21,2,FALSE)</f>
        <v>#N/A</v>
      </c>
      <c r="E1643" s="452" t="s">
        <v>902</v>
      </c>
      <c r="F1643" s="452" t="s">
        <v>1965</v>
      </c>
      <c r="G1643" s="452" t="s">
        <v>1887</v>
      </c>
      <c r="H1643" s="452" t="s">
        <v>1888</v>
      </c>
      <c r="I1643" s="453" t="s">
        <v>844</v>
      </c>
      <c r="J1643" s="453">
        <v>76058.81</v>
      </c>
      <c r="K1643" s="461">
        <v>47058.55</v>
      </c>
      <c r="L1643" s="461">
        <v>14712.59</v>
      </c>
      <c r="M1643" s="461">
        <v>14287.67</v>
      </c>
      <c r="N1643" s="461">
        <v>0</v>
      </c>
      <c r="O1643" s="461">
        <v>0</v>
      </c>
      <c r="P1643" s="461">
        <v>0</v>
      </c>
      <c r="Q1643" s="461">
        <v>0</v>
      </c>
      <c r="R1643" s="461">
        <v>0</v>
      </c>
      <c r="S1643" s="461">
        <v>0</v>
      </c>
      <c r="T1643" s="461">
        <v>0</v>
      </c>
      <c r="U1643" s="461">
        <v>0</v>
      </c>
      <c r="V1643" s="461">
        <v>0</v>
      </c>
    </row>
    <row r="1644" spans="1:22" s="455" customFormat="1" hidden="1">
      <c r="A1644" s="455" t="str">
        <f t="shared" si="50"/>
        <v>19705111510520</v>
      </c>
      <c r="B1644" s="455" t="str">
        <f>VLOOKUP(LEFT($C$3:$C$2600,3),Table!$D$2:$E$88,2,FALSE)</f>
        <v>Direct cost</v>
      </c>
      <c r="C1644" s="455" t="str">
        <f t="shared" si="51"/>
        <v>5111510520</v>
      </c>
      <c r="D1644" s="455" t="e">
        <f>VLOOKUP(G1644,Table!$G$3:$H$21,2,FALSE)</f>
        <v>#N/A</v>
      </c>
      <c r="E1644" s="452" t="s">
        <v>902</v>
      </c>
      <c r="F1644" s="452" t="s">
        <v>1965</v>
      </c>
      <c r="G1644" s="452" t="s">
        <v>1895</v>
      </c>
      <c r="H1644" s="452" t="s">
        <v>1896</v>
      </c>
      <c r="I1644" s="453" t="s">
        <v>844</v>
      </c>
      <c r="J1644" s="453">
        <v>1736630.29</v>
      </c>
      <c r="K1644" s="461">
        <v>687830.16</v>
      </c>
      <c r="L1644" s="461">
        <v>496645.89</v>
      </c>
      <c r="M1644" s="461">
        <v>552154.24</v>
      </c>
      <c r="N1644" s="461">
        <v>0</v>
      </c>
      <c r="O1644" s="461">
        <v>0</v>
      </c>
      <c r="P1644" s="461">
        <v>0</v>
      </c>
      <c r="Q1644" s="461">
        <v>0</v>
      </c>
      <c r="R1644" s="461">
        <v>0</v>
      </c>
      <c r="S1644" s="461">
        <v>0</v>
      </c>
      <c r="T1644" s="461">
        <v>0</v>
      </c>
      <c r="U1644" s="461">
        <v>0</v>
      </c>
      <c r="V1644" s="461">
        <v>0</v>
      </c>
    </row>
    <row r="1645" spans="1:22" s="455" customFormat="1" hidden="1">
      <c r="A1645" s="455" t="str">
        <f t="shared" si="50"/>
        <v>19705111610211</v>
      </c>
      <c r="B1645" s="455" t="str">
        <f>VLOOKUP(LEFT($C$3:$C$2600,3),Table!$D$2:$E$88,2,FALSE)</f>
        <v>Direct cost</v>
      </c>
      <c r="C1645" s="455" t="str">
        <f t="shared" si="51"/>
        <v>5111610211</v>
      </c>
      <c r="D1645" s="455" t="e">
        <f>VLOOKUP(G1645,Table!$G$3:$H$21,2,FALSE)</f>
        <v>#N/A</v>
      </c>
      <c r="E1645" s="452" t="s">
        <v>902</v>
      </c>
      <c r="F1645" s="452" t="s">
        <v>1965</v>
      </c>
      <c r="G1645" s="452" t="s">
        <v>1899</v>
      </c>
      <c r="H1645" s="452" t="s">
        <v>1900</v>
      </c>
      <c r="I1645" s="453" t="s">
        <v>844</v>
      </c>
      <c r="J1645" s="453">
        <v>24889.38</v>
      </c>
      <c r="K1645" s="461">
        <v>4298.74</v>
      </c>
      <c r="L1645" s="461">
        <v>0</v>
      </c>
      <c r="M1645" s="461">
        <v>20590.64</v>
      </c>
      <c r="N1645" s="461">
        <v>0</v>
      </c>
      <c r="O1645" s="461">
        <v>0</v>
      </c>
      <c r="P1645" s="461">
        <v>0</v>
      </c>
      <c r="Q1645" s="461">
        <v>0</v>
      </c>
      <c r="R1645" s="461">
        <v>0</v>
      </c>
      <c r="S1645" s="461">
        <v>0</v>
      </c>
      <c r="T1645" s="461">
        <v>0</v>
      </c>
      <c r="U1645" s="461">
        <v>0</v>
      </c>
      <c r="V1645" s="461">
        <v>0</v>
      </c>
    </row>
    <row r="1646" spans="1:22" s="455" customFormat="1" hidden="1">
      <c r="A1646" s="455" t="str">
        <f t="shared" si="50"/>
        <v>19705111610311</v>
      </c>
      <c r="B1646" s="455" t="str">
        <f>VLOOKUP(LEFT($C$3:$C$2600,3),Table!$D$2:$E$88,2,FALSE)</f>
        <v>Direct cost</v>
      </c>
      <c r="C1646" s="455" t="str">
        <f t="shared" si="51"/>
        <v>5111610311</v>
      </c>
      <c r="D1646" s="455" t="e">
        <f>VLOOKUP(G1646,Table!$G$3:$H$21,2,FALSE)</f>
        <v>#N/A</v>
      </c>
      <c r="E1646" s="452" t="s">
        <v>902</v>
      </c>
      <c r="F1646" s="452" t="s">
        <v>1965</v>
      </c>
      <c r="G1646" s="452" t="s">
        <v>1901</v>
      </c>
      <c r="H1646" s="452" t="s">
        <v>2591</v>
      </c>
      <c r="I1646" s="453" t="s">
        <v>844</v>
      </c>
      <c r="J1646" s="453">
        <v>3511.97</v>
      </c>
      <c r="K1646" s="461">
        <v>0</v>
      </c>
      <c r="L1646" s="461">
        <v>0</v>
      </c>
      <c r="M1646" s="461">
        <v>3511.97</v>
      </c>
      <c r="N1646" s="461">
        <v>0</v>
      </c>
      <c r="O1646" s="461">
        <v>0</v>
      </c>
      <c r="P1646" s="461">
        <v>0</v>
      </c>
      <c r="Q1646" s="461">
        <v>0</v>
      </c>
      <c r="R1646" s="461">
        <v>0</v>
      </c>
      <c r="S1646" s="461">
        <v>0</v>
      </c>
      <c r="T1646" s="461">
        <v>0</v>
      </c>
      <c r="U1646" s="461">
        <v>0</v>
      </c>
      <c r="V1646" s="461">
        <v>0</v>
      </c>
    </row>
    <row r="1647" spans="1:22" s="455" customFormat="1" hidden="1">
      <c r="A1647" s="455" t="str">
        <f t="shared" si="50"/>
        <v>19705121005011</v>
      </c>
      <c r="B1647" s="455" t="str">
        <f>VLOOKUP(LEFT($C$3:$C$2600,3),Table!$D$2:$E$88,2,FALSE)</f>
        <v>Period cost</v>
      </c>
      <c r="C1647" s="455" t="str">
        <f t="shared" si="51"/>
        <v>5121005011</v>
      </c>
      <c r="D1647" s="455" t="e">
        <f>VLOOKUP(G1647,Table!$G$3:$H$21,2,FALSE)</f>
        <v>#N/A</v>
      </c>
      <c r="E1647" s="452" t="s">
        <v>902</v>
      </c>
      <c r="F1647" s="452" t="s">
        <v>1965</v>
      </c>
      <c r="G1647" s="452" t="s">
        <v>1910</v>
      </c>
      <c r="H1647" s="452" t="s">
        <v>1911</v>
      </c>
      <c r="I1647" s="453" t="s">
        <v>844</v>
      </c>
      <c r="J1647" s="453">
        <v>105345.81</v>
      </c>
      <c r="K1647" s="461">
        <v>39551.370000000003</v>
      </c>
      <c r="L1647" s="461">
        <v>41547.160000000003</v>
      </c>
      <c r="M1647" s="461">
        <v>24247.279999999999</v>
      </c>
      <c r="N1647" s="461">
        <v>0</v>
      </c>
      <c r="O1647" s="461">
        <v>0</v>
      </c>
      <c r="P1647" s="461">
        <v>0</v>
      </c>
      <c r="Q1647" s="461">
        <v>0</v>
      </c>
      <c r="R1647" s="461">
        <v>0</v>
      </c>
      <c r="S1647" s="461">
        <v>0</v>
      </c>
      <c r="T1647" s="461">
        <v>0</v>
      </c>
      <c r="U1647" s="461">
        <v>0</v>
      </c>
      <c r="V1647" s="461">
        <v>0</v>
      </c>
    </row>
    <row r="1648" spans="1:22" s="455" customFormat="1" hidden="1">
      <c r="A1648" s="455" t="str">
        <f t="shared" si="50"/>
        <v>19705121010211</v>
      </c>
      <c r="B1648" s="455" t="str">
        <f>VLOOKUP(LEFT($C$3:$C$2600,3),Table!$D$2:$E$88,2,FALSE)</f>
        <v>Period cost</v>
      </c>
      <c r="C1648" s="455" t="str">
        <f t="shared" si="51"/>
        <v>5121010211</v>
      </c>
      <c r="D1648" s="455" t="e">
        <f>VLOOKUP(G1648,Table!$G$3:$H$21,2,FALSE)</f>
        <v>#N/A</v>
      </c>
      <c r="E1648" s="452" t="s">
        <v>902</v>
      </c>
      <c r="F1648" s="452" t="s">
        <v>1965</v>
      </c>
      <c r="G1648" s="452" t="s">
        <v>1912</v>
      </c>
      <c r="H1648" s="452" t="s">
        <v>1913</v>
      </c>
      <c r="I1648" s="453" t="s">
        <v>844</v>
      </c>
      <c r="J1648" s="453">
        <v>60806.35</v>
      </c>
      <c r="K1648" s="461">
        <v>28827.51</v>
      </c>
      <c r="L1648" s="461">
        <v>0</v>
      </c>
      <c r="M1648" s="461">
        <v>31978.84</v>
      </c>
      <c r="N1648" s="461">
        <v>0</v>
      </c>
      <c r="O1648" s="461">
        <v>0</v>
      </c>
      <c r="P1648" s="461">
        <v>0</v>
      </c>
      <c r="Q1648" s="461">
        <v>0</v>
      </c>
      <c r="R1648" s="461">
        <v>0</v>
      </c>
      <c r="S1648" s="461">
        <v>0</v>
      </c>
      <c r="T1648" s="461">
        <v>0</v>
      </c>
      <c r="U1648" s="461">
        <v>0</v>
      </c>
      <c r="V1648" s="461">
        <v>0</v>
      </c>
    </row>
    <row r="1649" spans="1:22" s="455" customFormat="1" hidden="1">
      <c r="A1649" s="455" t="str">
        <f t="shared" si="50"/>
        <v>19705121030011</v>
      </c>
      <c r="B1649" s="455" t="str">
        <f>VLOOKUP(LEFT($C$3:$C$2600,3),Table!$D$2:$E$88,2,FALSE)</f>
        <v>Period cost</v>
      </c>
      <c r="C1649" s="455" t="str">
        <f t="shared" si="51"/>
        <v>5121030011</v>
      </c>
      <c r="D1649" s="455" t="e">
        <f>VLOOKUP(G1649,Table!$G$3:$H$21,2,FALSE)</f>
        <v>#N/A</v>
      </c>
      <c r="E1649" s="452" t="s">
        <v>902</v>
      </c>
      <c r="F1649" s="452" t="s">
        <v>1965</v>
      </c>
      <c r="G1649" s="452" t="s">
        <v>1916</v>
      </c>
      <c r="H1649" s="452" t="s">
        <v>1917</v>
      </c>
      <c r="I1649" s="453" t="s">
        <v>844</v>
      </c>
      <c r="J1649" s="453">
        <v>58860.39</v>
      </c>
      <c r="K1649" s="461">
        <v>35745.96</v>
      </c>
      <c r="L1649" s="461">
        <v>11818.18</v>
      </c>
      <c r="M1649" s="461">
        <v>11296.25</v>
      </c>
      <c r="N1649" s="461">
        <v>0</v>
      </c>
      <c r="O1649" s="461">
        <v>0</v>
      </c>
      <c r="P1649" s="461">
        <v>0</v>
      </c>
      <c r="Q1649" s="461">
        <v>0</v>
      </c>
      <c r="R1649" s="461">
        <v>0</v>
      </c>
      <c r="S1649" s="461">
        <v>0</v>
      </c>
      <c r="T1649" s="461">
        <v>0</v>
      </c>
      <c r="U1649" s="461">
        <v>0</v>
      </c>
      <c r="V1649" s="461">
        <v>0</v>
      </c>
    </row>
    <row r="1650" spans="1:22" s="455" customFormat="1" hidden="1">
      <c r="A1650" s="455" t="str">
        <f t="shared" si="50"/>
        <v>19705121510520</v>
      </c>
      <c r="B1650" s="455" t="str">
        <f>VLOOKUP(LEFT($C$3:$C$2600,3),Table!$D$2:$E$88,2,FALSE)</f>
        <v>Period cost</v>
      </c>
      <c r="C1650" s="455" t="str">
        <f t="shared" si="51"/>
        <v>5121510520</v>
      </c>
      <c r="D1650" s="455" t="e">
        <f>VLOOKUP(G1650,Table!$G$3:$H$21,2,FALSE)</f>
        <v>#N/A</v>
      </c>
      <c r="E1650" s="452" t="s">
        <v>902</v>
      </c>
      <c r="F1650" s="452" t="s">
        <v>1965</v>
      </c>
      <c r="G1650" s="452" t="s">
        <v>1924</v>
      </c>
      <c r="H1650" s="452" t="s">
        <v>1925</v>
      </c>
      <c r="I1650" s="453" t="s">
        <v>844</v>
      </c>
      <c r="J1650" s="453">
        <v>1198254.28</v>
      </c>
      <c r="K1650" s="461">
        <v>454985.12</v>
      </c>
      <c r="L1650" s="461">
        <v>338963.29</v>
      </c>
      <c r="M1650" s="461">
        <v>404305.87</v>
      </c>
      <c r="N1650" s="461">
        <v>0</v>
      </c>
      <c r="O1650" s="461">
        <v>0</v>
      </c>
      <c r="P1650" s="461">
        <v>0</v>
      </c>
      <c r="Q1650" s="461">
        <v>0</v>
      </c>
      <c r="R1650" s="461">
        <v>0</v>
      </c>
      <c r="S1650" s="461">
        <v>0</v>
      </c>
      <c r="T1650" s="461">
        <v>0</v>
      </c>
      <c r="U1650" s="461">
        <v>0</v>
      </c>
      <c r="V1650" s="461">
        <v>0</v>
      </c>
    </row>
    <row r="1651" spans="1:22" s="455" customFormat="1" hidden="1">
      <c r="A1651" s="455" t="str">
        <f t="shared" si="50"/>
        <v>19705121610211</v>
      </c>
      <c r="B1651" s="455" t="str">
        <f>VLOOKUP(LEFT($C$3:$C$2600,3),Table!$D$2:$E$88,2,FALSE)</f>
        <v>Period cost</v>
      </c>
      <c r="C1651" s="455" t="str">
        <f t="shared" si="51"/>
        <v>5121610211</v>
      </c>
      <c r="D1651" s="455" t="e">
        <f>VLOOKUP(G1651,Table!$G$3:$H$21,2,FALSE)</f>
        <v>#N/A</v>
      </c>
      <c r="E1651" s="452" t="s">
        <v>902</v>
      </c>
      <c r="F1651" s="452" t="s">
        <v>1965</v>
      </c>
      <c r="G1651" s="452" t="s">
        <v>1928</v>
      </c>
      <c r="H1651" s="452" t="s">
        <v>1929</v>
      </c>
      <c r="I1651" s="453" t="s">
        <v>844</v>
      </c>
      <c r="J1651" s="453">
        <v>8107.23</v>
      </c>
      <c r="K1651" s="461">
        <v>1048.1199999999999</v>
      </c>
      <c r="L1651" s="461">
        <v>0</v>
      </c>
      <c r="M1651" s="461">
        <v>7059.11</v>
      </c>
      <c r="N1651" s="461">
        <v>0</v>
      </c>
      <c r="O1651" s="461">
        <v>0</v>
      </c>
      <c r="P1651" s="461">
        <v>0</v>
      </c>
      <c r="Q1651" s="461">
        <v>0</v>
      </c>
      <c r="R1651" s="461">
        <v>0</v>
      </c>
      <c r="S1651" s="461">
        <v>0</v>
      </c>
      <c r="T1651" s="461">
        <v>0</v>
      </c>
      <c r="U1651" s="461">
        <v>0</v>
      </c>
      <c r="V1651" s="461">
        <v>0</v>
      </c>
    </row>
    <row r="1652" spans="1:22" s="455" customFormat="1" hidden="1">
      <c r="A1652" s="455" t="str">
        <f t="shared" si="50"/>
        <v>19705121610311</v>
      </c>
      <c r="B1652" s="455" t="str">
        <f>VLOOKUP(LEFT($C$3:$C$2600,3),Table!$D$2:$E$88,2,FALSE)</f>
        <v>Period cost</v>
      </c>
      <c r="C1652" s="455" t="str">
        <f t="shared" si="51"/>
        <v>5121610311</v>
      </c>
      <c r="D1652" s="455" t="e">
        <f>VLOOKUP(G1652,Table!$G$3:$H$21,2,FALSE)</f>
        <v>#N/A</v>
      </c>
      <c r="E1652" s="452" t="s">
        <v>902</v>
      </c>
      <c r="F1652" s="452" t="s">
        <v>1965</v>
      </c>
      <c r="G1652" s="452" t="s">
        <v>1930</v>
      </c>
      <c r="H1652" s="452" t="s">
        <v>2592</v>
      </c>
      <c r="I1652" s="453" t="s">
        <v>844</v>
      </c>
      <c r="J1652" s="453">
        <v>3853.83</v>
      </c>
      <c r="K1652" s="461">
        <v>0</v>
      </c>
      <c r="L1652" s="461">
        <v>0</v>
      </c>
      <c r="M1652" s="461">
        <v>3853.83</v>
      </c>
      <c r="N1652" s="461">
        <v>0</v>
      </c>
      <c r="O1652" s="461">
        <v>0</v>
      </c>
      <c r="P1652" s="461">
        <v>0</v>
      </c>
      <c r="Q1652" s="461">
        <v>0</v>
      </c>
      <c r="R1652" s="461">
        <v>0</v>
      </c>
      <c r="S1652" s="461">
        <v>0</v>
      </c>
      <c r="T1652" s="461">
        <v>0</v>
      </c>
      <c r="U1652" s="461">
        <v>0</v>
      </c>
      <c r="V1652" s="461">
        <v>0</v>
      </c>
    </row>
    <row r="1653" spans="1:22" s="455" customFormat="1" hidden="1">
      <c r="A1653" s="455" t="str">
        <f t="shared" si="50"/>
        <v>19705302402300</v>
      </c>
      <c r="B1653" s="455" t="str">
        <f>VLOOKUP(LEFT($C$3:$C$2600,3),Table!$D$2:$E$88,2,FALSE)</f>
        <v>Selling &amp; admin expenses</v>
      </c>
      <c r="C1653" s="455" t="str">
        <f t="shared" si="51"/>
        <v>5302402300</v>
      </c>
      <c r="D1653" s="455" t="e">
        <f>VLOOKUP(G1653,Table!$G$3:$H$21,2,FALSE)</f>
        <v>#N/A</v>
      </c>
      <c r="E1653" s="452" t="s">
        <v>902</v>
      </c>
      <c r="F1653" s="452" t="s">
        <v>1965</v>
      </c>
      <c r="G1653" s="452" t="s">
        <v>1966</v>
      </c>
      <c r="H1653" s="452" t="s">
        <v>1967</v>
      </c>
      <c r="I1653" s="453" t="s">
        <v>844</v>
      </c>
      <c r="J1653" s="453">
        <v>1817.3</v>
      </c>
      <c r="K1653" s="461">
        <v>555.9</v>
      </c>
      <c r="L1653" s="461">
        <v>76.099999999999994</v>
      </c>
      <c r="M1653" s="461">
        <v>1089.9000000000001</v>
      </c>
      <c r="N1653" s="461">
        <v>0</v>
      </c>
      <c r="O1653" s="461">
        <v>0</v>
      </c>
      <c r="P1653" s="461">
        <v>0</v>
      </c>
      <c r="Q1653" s="461">
        <v>0</v>
      </c>
      <c r="R1653" s="461">
        <v>0</v>
      </c>
      <c r="S1653" s="461">
        <v>0</v>
      </c>
      <c r="T1653" s="461">
        <v>0</v>
      </c>
      <c r="U1653" s="461">
        <v>0</v>
      </c>
      <c r="V1653" s="461">
        <v>0</v>
      </c>
    </row>
    <row r="1654" spans="1:22" s="455" customFormat="1" hidden="1">
      <c r="A1654" s="455" t="str">
        <f t="shared" si="50"/>
        <v>19705302610000</v>
      </c>
      <c r="B1654" s="455" t="str">
        <f>VLOOKUP(LEFT($C$3:$C$2600,3),Table!$D$2:$E$88,2,FALSE)</f>
        <v>Selling &amp; admin expenses</v>
      </c>
      <c r="C1654" s="455" t="str">
        <f t="shared" si="51"/>
        <v>5302610000</v>
      </c>
      <c r="D1654" s="455" t="e">
        <f>VLOOKUP(G1654,Table!$G$3:$H$21,2,FALSE)</f>
        <v>#N/A</v>
      </c>
      <c r="E1654" s="452" t="s">
        <v>902</v>
      </c>
      <c r="F1654" s="452" t="s">
        <v>1965</v>
      </c>
      <c r="G1654" s="452" t="s">
        <v>1968</v>
      </c>
      <c r="H1654" s="452" t="s">
        <v>1969</v>
      </c>
      <c r="I1654" s="453" t="s">
        <v>844</v>
      </c>
      <c r="J1654" s="453">
        <v>8832.61</v>
      </c>
      <c r="K1654" s="461">
        <v>3041.07</v>
      </c>
      <c r="L1654" s="461">
        <v>3774.24</v>
      </c>
      <c r="M1654" s="461">
        <v>2017.3</v>
      </c>
      <c r="N1654" s="461">
        <v>0</v>
      </c>
      <c r="O1654" s="461">
        <v>0</v>
      </c>
      <c r="P1654" s="461">
        <v>0</v>
      </c>
      <c r="Q1654" s="461">
        <v>0</v>
      </c>
      <c r="R1654" s="461">
        <v>0</v>
      </c>
      <c r="S1654" s="461">
        <v>0</v>
      </c>
      <c r="T1654" s="461">
        <v>0</v>
      </c>
      <c r="U1654" s="461">
        <v>0</v>
      </c>
      <c r="V1654" s="461">
        <v>0</v>
      </c>
    </row>
    <row r="1655" spans="1:22" s="455" customFormat="1" hidden="1">
      <c r="A1655" s="455" t="str">
        <f t="shared" si="50"/>
        <v>19705303402000</v>
      </c>
      <c r="B1655" s="455" t="str">
        <f>VLOOKUP(LEFT($C$3:$C$2600,3),Table!$D$2:$E$88,2,FALSE)</f>
        <v>Selling &amp; admin expenses</v>
      </c>
      <c r="C1655" s="455" t="str">
        <f t="shared" si="51"/>
        <v>5303402000</v>
      </c>
      <c r="D1655" s="455" t="e">
        <f>VLOOKUP(G1655,Table!$G$3:$H$21,2,FALSE)</f>
        <v>#N/A</v>
      </c>
      <c r="E1655" s="452" t="s">
        <v>902</v>
      </c>
      <c r="F1655" s="452" t="s">
        <v>1965</v>
      </c>
      <c r="G1655" s="452" t="s">
        <v>1633</v>
      </c>
      <c r="H1655" s="452" t="s">
        <v>1634</v>
      </c>
      <c r="I1655" s="453" t="s">
        <v>844</v>
      </c>
      <c r="J1655" s="453">
        <v>1135.5</v>
      </c>
      <c r="K1655" s="461">
        <v>557</v>
      </c>
      <c r="L1655" s="461">
        <v>322</v>
      </c>
      <c r="M1655" s="461">
        <v>256.5</v>
      </c>
      <c r="N1655" s="461">
        <v>0</v>
      </c>
      <c r="O1655" s="461">
        <v>0</v>
      </c>
      <c r="P1655" s="461">
        <v>0</v>
      </c>
      <c r="Q1655" s="461">
        <v>0</v>
      </c>
      <c r="R1655" s="461">
        <v>0</v>
      </c>
      <c r="S1655" s="461">
        <v>0</v>
      </c>
      <c r="T1655" s="461">
        <v>0</v>
      </c>
      <c r="U1655" s="461">
        <v>0</v>
      </c>
      <c r="V1655" s="461">
        <v>0</v>
      </c>
    </row>
    <row r="1656" spans="1:22" s="455" customFormat="1" hidden="1">
      <c r="A1656" s="455" t="str">
        <f t="shared" si="50"/>
        <v>19705303402600</v>
      </c>
      <c r="B1656" s="455" t="str">
        <f>VLOOKUP(LEFT($C$3:$C$2600,3),Table!$D$2:$E$88,2,FALSE)</f>
        <v>Selling &amp; admin expenses</v>
      </c>
      <c r="C1656" s="455" t="str">
        <f t="shared" si="51"/>
        <v>5303402600</v>
      </c>
      <c r="D1656" s="455" t="e">
        <f>VLOOKUP(G1656,Table!$G$3:$H$21,2,FALSE)</f>
        <v>#N/A</v>
      </c>
      <c r="E1656" s="452" t="s">
        <v>902</v>
      </c>
      <c r="F1656" s="452" t="s">
        <v>1965</v>
      </c>
      <c r="G1656" s="452" t="s">
        <v>1970</v>
      </c>
      <c r="H1656" s="452" t="s">
        <v>1971</v>
      </c>
      <c r="I1656" s="453" t="s">
        <v>844</v>
      </c>
      <c r="J1656" s="453">
        <v>492.62</v>
      </c>
      <c r="K1656" s="461">
        <v>492.62</v>
      </c>
      <c r="L1656" s="461">
        <v>0</v>
      </c>
      <c r="M1656" s="461">
        <v>0</v>
      </c>
      <c r="N1656" s="461">
        <v>0</v>
      </c>
      <c r="O1656" s="461">
        <v>0</v>
      </c>
      <c r="P1656" s="461">
        <v>0</v>
      </c>
      <c r="Q1656" s="461">
        <v>0</v>
      </c>
      <c r="R1656" s="461">
        <v>0</v>
      </c>
      <c r="S1656" s="461">
        <v>0</v>
      </c>
      <c r="T1656" s="461">
        <v>0</v>
      </c>
      <c r="U1656" s="461">
        <v>0</v>
      </c>
      <c r="V1656" s="461">
        <v>0</v>
      </c>
    </row>
    <row r="1657" spans="1:22" s="455" customFormat="1" hidden="1">
      <c r="A1657" s="455" t="str">
        <f t="shared" si="50"/>
        <v>19705304000000</v>
      </c>
      <c r="B1657" s="455" t="str">
        <f>VLOOKUP(LEFT($C$3:$C$2600,3),Table!$D$2:$E$88,2,FALSE)</f>
        <v>Selling &amp; admin expenses</v>
      </c>
      <c r="C1657" s="455" t="str">
        <f t="shared" si="51"/>
        <v>5304000000</v>
      </c>
      <c r="D1657" s="455" t="e">
        <f>VLOOKUP(G1657,Table!$G$3:$H$21,2,FALSE)</f>
        <v>#N/A</v>
      </c>
      <c r="E1657" s="452" t="s">
        <v>902</v>
      </c>
      <c r="F1657" s="452" t="s">
        <v>1965</v>
      </c>
      <c r="G1657" s="452" t="s">
        <v>1963</v>
      </c>
      <c r="H1657" s="452" t="s">
        <v>1964</v>
      </c>
      <c r="I1657" s="453" t="s">
        <v>844</v>
      </c>
      <c r="J1657" s="453">
        <v>-20262.21</v>
      </c>
      <c r="K1657" s="461">
        <v>-13555.75</v>
      </c>
      <c r="L1657" s="461">
        <v>20244.810000000001</v>
      </c>
      <c r="M1657" s="461">
        <v>14872.93</v>
      </c>
      <c r="N1657" s="461">
        <v>0</v>
      </c>
      <c r="O1657" s="461">
        <v>0</v>
      </c>
      <c r="P1657" s="461">
        <v>0</v>
      </c>
      <c r="Q1657" s="461">
        <v>0</v>
      </c>
      <c r="R1657" s="461">
        <v>0</v>
      </c>
      <c r="S1657" s="461">
        <v>0</v>
      </c>
      <c r="T1657" s="461">
        <v>0</v>
      </c>
      <c r="U1657" s="461">
        <v>0</v>
      </c>
      <c r="V1657" s="461">
        <v>0</v>
      </c>
    </row>
    <row r="1658" spans="1:22" s="455" customFormat="1" hidden="1">
      <c r="A1658" s="455" t="str">
        <f t="shared" si="50"/>
        <v>61108990000000</v>
      </c>
      <c r="B1658" s="455">
        <f>VLOOKUP(LEFT($C$3:$C$2600,3),Table!$D$2:$E$88,2,FALSE)</f>
        <v>0</v>
      </c>
      <c r="C1658" s="455" t="str">
        <f t="shared" si="51"/>
        <v>8990000000</v>
      </c>
      <c r="D1658" s="455" t="e">
        <f>VLOOKUP(G1658,Table!$G$3:$H$21,2,FALSE)</f>
        <v>#N/A</v>
      </c>
      <c r="E1658" s="452" t="s">
        <v>902</v>
      </c>
      <c r="F1658" s="452" t="s">
        <v>1972</v>
      </c>
      <c r="G1658" s="452" t="s">
        <v>1974</v>
      </c>
      <c r="H1658" s="452" t="s">
        <v>1975</v>
      </c>
      <c r="I1658" s="453" t="s">
        <v>844</v>
      </c>
      <c r="J1658" s="453">
        <v>-141725.26</v>
      </c>
      <c r="K1658" s="461">
        <v>-74180.23</v>
      </c>
      <c r="L1658" s="461">
        <v>-34107.93</v>
      </c>
      <c r="M1658" s="461">
        <v>-33437.1</v>
      </c>
      <c r="N1658" s="461">
        <v>0</v>
      </c>
      <c r="O1658" s="461">
        <v>0</v>
      </c>
      <c r="P1658" s="461">
        <v>0</v>
      </c>
      <c r="Q1658" s="461">
        <v>0</v>
      </c>
      <c r="R1658" s="461">
        <v>0</v>
      </c>
      <c r="S1658" s="461">
        <v>0</v>
      </c>
      <c r="T1658" s="461">
        <v>0</v>
      </c>
      <c r="U1658" s="461">
        <v>0</v>
      </c>
      <c r="V1658" s="461">
        <v>0</v>
      </c>
    </row>
    <row r="1659" spans="1:22" s="455" customFormat="1" hidden="1">
      <c r="A1659" s="455" t="str">
        <f t="shared" si="50"/>
        <v>61208101401000</v>
      </c>
      <c r="B1659" s="455">
        <f>VLOOKUP(LEFT($C$3:$C$2600,3),Table!$D$2:$E$88,2,FALSE)</f>
        <v>0</v>
      </c>
      <c r="C1659" s="455" t="str">
        <f t="shared" si="51"/>
        <v>8101401000</v>
      </c>
      <c r="D1659" s="455" t="e">
        <f>VLOOKUP(G1659,Table!$G$3:$H$21,2,FALSE)</f>
        <v>#N/A</v>
      </c>
      <c r="E1659" s="452" t="s">
        <v>902</v>
      </c>
      <c r="F1659" s="452" t="s">
        <v>1976</v>
      </c>
      <c r="G1659" s="452" t="s">
        <v>1977</v>
      </c>
      <c r="H1659" s="452" t="s">
        <v>1978</v>
      </c>
      <c r="I1659" s="453" t="s">
        <v>844</v>
      </c>
      <c r="J1659" s="453">
        <v>15579</v>
      </c>
      <c r="K1659" s="461">
        <v>5603</v>
      </c>
      <c r="L1659" s="461">
        <v>2505</v>
      </c>
      <c r="M1659" s="461">
        <v>7471</v>
      </c>
      <c r="N1659" s="461">
        <v>0</v>
      </c>
      <c r="O1659" s="461">
        <v>0</v>
      </c>
      <c r="P1659" s="461">
        <v>0</v>
      </c>
      <c r="Q1659" s="461">
        <v>0</v>
      </c>
      <c r="R1659" s="461">
        <v>0</v>
      </c>
      <c r="S1659" s="461">
        <v>0</v>
      </c>
      <c r="T1659" s="461">
        <v>0</v>
      </c>
      <c r="U1659" s="461">
        <v>0</v>
      </c>
      <c r="V1659" s="461">
        <v>0</v>
      </c>
    </row>
    <row r="1660" spans="1:22" s="455" customFormat="1" hidden="1">
      <c r="A1660" s="455" t="str">
        <f t="shared" si="50"/>
        <v>61208101401100</v>
      </c>
      <c r="B1660" s="455">
        <f>VLOOKUP(LEFT($C$3:$C$2600,3),Table!$D$2:$E$88,2,FALSE)</f>
        <v>0</v>
      </c>
      <c r="C1660" s="455" t="str">
        <f t="shared" si="51"/>
        <v>8101401100</v>
      </c>
      <c r="D1660" s="455" t="e">
        <f>VLOOKUP(G1660,Table!$G$3:$H$21,2,FALSE)</f>
        <v>#N/A</v>
      </c>
      <c r="E1660" s="452" t="s">
        <v>902</v>
      </c>
      <c r="F1660" s="452" t="s">
        <v>1976</v>
      </c>
      <c r="G1660" s="452" t="s">
        <v>1979</v>
      </c>
      <c r="H1660" s="452" t="s">
        <v>1980</v>
      </c>
      <c r="I1660" s="453" t="s">
        <v>844</v>
      </c>
      <c r="J1660" s="453">
        <v>10191.6</v>
      </c>
      <c r="K1660" s="461">
        <v>5466.6</v>
      </c>
      <c r="L1660" s="461">
        <v>1575</v>
      </c>
      <c r="M1660" s="461">
        <v>3150</v>
      </c>
      <c r="N1660" s="461">
        <v>0</v>
      </c>
      <c r="O1660" s="461">
        <v>0</v>
      </c>
      <c r="P1660" s="461">
        <v>0</v>
      </c>
      <c r="Q1660" s="461">
        <v>0</v>
      </c>
      <c r="R1660" s="461">
        <v>0</v>
      </c>
      <c r="S1660" s="461">
        <v>0</v>
      </c>
      <c r="T1660" s="461">
        <v>0</v>
      </c>
      <c r="U1660" s="461">
        <v>0</v>
      </c>
      <c r="V1660" s="461">
        <v>0</v>
      </c>
    </row>
    <row r="1661" spans="1:22" s="455" customFormat="1" hidden="1">
      <c r="A1661" s="455" t="str">
        <f t="shared" si="50"/>
        <v>61208101401500</v>
      </c>
      <c r="B1661" s="455">
        <f>VLOOKUP(LEFT($C$3:$C$2600,3),Table!$D$2:$E$88,2,FALSE)</f>
        <v>0</v>
      </c>
      <c r="C1661" s="455" t="str">
        <f t="shared" si="51"/>
        <v>8101401500</v>
      </c>
      <c r="D1661" s="455" t="e">
        <f>VLOOKUP(G1661,Table!$G$3:$H$21,2,FALSE)</f>
        <v>#N/A</v>
      </c>
      <c r="E1661" s="452" t="s">
        <v>902</v>
      </c>
      <c r="F1661" s="452" t="s">
        <v>1976</v>
      </c>
      <c r="G1661" s="452" t="s">
        <v>1982</v>
      </c>
      <c r="H1661" s="452" t="s">
        <v>1983</v>
      </c>
      <c r="I1661" s="453" t="s">
        <v>844</v>
      </c>
      <c r="J1661" s="453">
        <v>15531.8</v>
      </c>
      <c r="K1661" s="461">
        <v>4622.6000000000004</v>
      </c>
      <c r="L1661" s="461">
        <v>7102</v>
      </c>
      <c r="M1661" s="461">
        <v>3807.2</v>
      </c>
      <c r="N1661" s="461">
        <v>0</v>
      </c>
      <c r="O1661" s="461">
        <v>0</v>
      </c>
      <c r="P1661" s="461">
        <v>0</v>
      </c>
      <c r="Q1661" s="461">
        <v>0</v>
      </c>
      <c r="R1661" s="461">
        <v>0</v>
      </c>
      <c r="S1661" s="461">
        <v>0</v>
      </c>
      <c r="T1661" s="461">
        <v>0</v>
      </c>
      <c r="U1661" s="461">
        <v>0</v>
      </c>
      <c r="V1661" s="461">
        <v>0</v>
      </c>
    </row>
    <row r="1662" spans="1:22" s="455" customFormat="1" hidden="1">
      <c r="A1662" s="455" t="str">
        <f t="shared" si="50"/>
        <v>61208101402000</v>
      </c>
      <c r="B1662" s="455">
        <f>VLOOKUP(LEFT($C$3:$C$2600,3),Table!$D$2:$E$88,2,FALSE)</f>
        <v>0</v>
      </c>
      <c r="C1662" s="455" t="str">
        <f t="shared" si="51"/>
        <v>8101402000</v>
      </c>
      <c r="D1662" s="455" t="e">
        <f>VLOOKUP(G1662,Table!$G$3:$H$21,2,FALSE)</f>
        <v>#N/A</v>
      </c>
      <c r="E1662" s="452" t="s">
        <v>902</v>
      </c>
      <c r="F1662" s="452" t="s">
        <v>1976</v>
      </c>
      <c r="G1662" s="452" t="s">
        <v>1984</v>
      </c>
      <c r="H1662" s="452" t="s">
        <v>1985</v>
      </c>
      <c r="I1662" s="453" t="s">
        <v>844</v>
      </c>
      <c r="J1662" s="453">
        <v>18325.95</v>
      </c>
      <c r="K1662" s="461">
        <v>3213.1</v>
      </c>
      <c r="L1662" s="461">
        <v>10956.3</v>
      </c>
      <c r="M1662" s="461">
        <v>4156.55</v>
      </c>
      <c r="N1662" s="461">
        <v>0</v>
      </c>
      <c r="O1662" s="461">
        <v>0</v>
      </c>
      <c r="P1662" s="461">
        <v>0</v>
      </c>
      <c r="Q1662" s="461">
        <v>0</v>
      </c>
      <c r="R1662" s="461">
        <v>0</v>
      </c>
      <c r="S1662" s="461">
        <v>0</v>
      </c>
      <c r="T1662" s="461">
        <v>0</v>
      </c>
      <c r="U1662" s="461">
        <v>0</v>
      </c>
      <c r="V1662" s="461">
        <v>0</v>
      </c>
    </row>
    <row r="1663" spans="1:22" s="455" customFormat="1" hidden="1">
      <c r="A1663" s="455" t="str">
        <f t="shared" si="50"/>
        <v>63108151301500</v>
      </c>
      <c r="B1663" s="455">
        <f>VLOOKUP(LEFT($C$3:$C$2600,3),Table!$D$2:$E$88,2,FALSE)</f>
        <v>0</v>
      </c>
      <c r="C1663" s="455" t="str">
        <f t="shared" si="51"/>
        <v>8151301500</v>
      </c>
      <c r="D1663" s="455" t="e">
        <f>VLOOKUP(G1663,Table!$G$3:$H$21,2,FALSE)</f>
        <v>#N/A</v>
      </c>
      <c r="E1663" s="452" t="s">
        <v>902</v>
      </c>
      <c r="F1663" s="452" t="s">
        <v>1986</v>
      </c>
      <c r="G1663" s="452" t="s">
        <v>1987</v>
      </c>
      <c r="H1663" s="452" t="s">
        <v>1988</v>
      </c>
      <c r="I1663" s="453" t="s">
        <v>844</v>
      </c>
      <c r="J1663" s="453">
        <v>7525.5</v>
      </c>
      <c r="K1663" s="461">
        <v>2551.1</v>
      </c>
      <c r="L1663" s="461">
        <v>1700.4</v>
      </c>
      <c r="M1663" s="461">
        <v>3274</v>
      </c>
      <c r="N1663" s="461">
        <v>0</v>
      </c>
      <c r="O1663" s="461">
        <v>0</v>
      </c>
      <c r="P1663" s="461">
        <v>0</v>
      </c>
      <c r="Q1663" s="461">
        <v>0</v>
      </c>
      <c r="R1663" s="461">
        <v>0</v>
      </c>
      <c r="S1663" s="461">
        <v>0</v>
      </c>
      <c r="T1663" s="461">
        <v>0</v>
      </c>
      <c r="U1663" s="461">
        <v>0</v>
      </c>
      <c r="V1663" s="461">
        <v>0</v>
      </c>
    </row>
    <row r="1664" spans="1:22" s="455" customFormat="1" hidden="1">
      <c r="A1664" s="455" t="str">
        <f t="shared" si="50"/>
        <v>63108151301600</v>
      </c>
      <c r="B1664" s="455">
        <f>VLOOKUP(LEFT($C$3:$C$2600,3),Table!$D$2:$E$88,2,FALSE)</f>
        <v>0</v>
      </c>
      <c r="C1664" s="455" t="str">
        <f t="shared" si="51"/>
        <v>8151301600</v>
      </c>
      <c r="D1664" s="455" t="e">
        <f>VLOOKUP(G1664,Table!$G$3:$H$21,2,FALSE)</f>
        <v>#N/A</v>
      </c>
      <c r="E1664" s="452" t="s">
        <v>902</v>
      </c>
      <c r="F1664" s="452" t="s">
        <v>1986</v>
      </c>
      <c r="G1664" s="452" t="s">
        <v>1989</v>
      </c>
      <c r="H1664" s="452" t="s">
        <v>1990</v>
      </c>
      <c r="I1664" s="453" t="s">
        <v>844</v>
      </c>
      <c r="J1664" s="453">
        <v>49603.3</v>
      </c>
      <c r="K1664" s="461">
        <v>49564.3</v>
      </c>
      <c r="L1664" s="461">
        <v>39</v>
      </c>
      <c r="M1664" s="461">
        <v>0</v>
      </c>
      <c r="N1664" s="461">
        <v>0</v>
      </c>
      <c r="O1664" s="461">
        <v>0</v>
      </c>
      <c r="P1664" s="461">
        <v>0</v>
      </c>
      <c r="Q1664" s="461">
        <v>0</v>
      </c>
      <c r="R1664" s="461">
        <v>0</v>
      </c>
      <c r="S1664" s="461">
        <v>0</v>
      </c>
      <c r="T1664" s="461">
        <v>0</v>
      </c>
      <c r="U1664" s="461">
        <v>0</v>
      </c>
      <c r="V1664" s="461">
        <v>0</v>
      </c>
    </row>
    <row r="1665" spans="1:22" s="455" customFormat="1" hidden="1">
      <c r="A1665" s="455" t="str">
        <f t="shared" si="50"/>
        <v>63108151901000</v>
      </c>
      <c r="B1665" s="455">
        <f>VLOOKUP(LEFT($C$3:$C$2600,3),Table!$D$2:$E$88,2,FALSE)</f>
        <v>0</v>
      </c>
      <c r="C1665" s="455" t="str">
        <f t="shared" si="51"/>
        <v>8151901000</v>
      </c>
      <c r="D1665" s="455" t="e">
        <f>VLOOKUP(G1665,Table!$G$3:$H$21,2,FALSE)</f>
        <v>#N/A</v>
      </c>
      <c r="E1665" s="452" t="s">
        <v>902</v>
      </c>
      <c r="F1665" s="452" t="s">
        <v>1986</v>
      </c>
      <c r="G1665" s="452" t="s">
        <v>1991</v>
      </c>
      <c r="H1665" s="452" t="s">
        <v>1992</v>
      </c>
      <c r="I1665" s="453" t="s">
        <v>844</v>
      </c>
      <c r="J1665" s="453">
        <v>667.05</v>
      </c>
      <c r="K1665" s="461">
        <v>0</v>
      </c>
      <c r="L1665" s="461">
        <v>667.05</v>
      </c>
      <c r="M1665" s="461">
        <v>0</v>
      </c>
      <c r="N1665" s="461">
        <v>0</v>
      </c>
      <c r="O1665" s="461">
        <v>0</v>
      </c>
      <c r="P1665" s="461">
        <v>0</v>
      </c>
      <c r="Q1665" s="461">
        <v>0</v>
      </c>
      <c r="R1665" s="461">
        <v>0</v>
      </c>
      <c r="S1665" s="461">
        <v>0</v>
      </c>
      <c r="T1665" s="461">
        <v>0</v>
      </c>
      <c r="U1665" s="461">
        <v>0</v>
      </c>
      <c r="V1665" s="461">
        <v>0</v>
      </c>
    </row>
    <row r="1666" spans="1:22" s="455" customFormat="1" hidden="1">
      <c r="A1666" s="455" t="str">
        <f t="shared" si="50"/>
        <v>63108151901100</v>
      </c>
      <c r="B1666" s="455">
        <f>VLOOKUP(LEFT($C$3:$C$2600,3),Table!$D$2:$E$88,2,FALSE)</f>
        <v>0</v>
      </c>
      <c r="C1666" s="455" t="str">
        <f t="shared" si="51"/>
        <v>8151901100</v>
      </c>
      <c r="D1666" s="455" t="e">
        <f>VLOOKUP(G1666,Table!$G$3:$H$21,2,FALSE)</f>
        <v>#N/A</v>
      </c>
      <c r="E1666" s="452" t="s">
        <v>902</v>
      </c>
      <c r="F1666" s="452" t="s">
        <v>1986</v>
      </c>
      <c r="G1666" s="452" t="s">
        <v>1993</v>
      </c>
      <c r="H1666" s="452" t="s">
        <v>1994</v>
      </c>
      <c r="I1666" s="453" t="s">
        <v>844</v>
      </c>
      <c r="J1666" s="453">
        <v>17394.27</v>
      </c>
      <c r="K1666" s="461">
        <v>1138.5</v>
      </c>
      <c r="L1666" s="461">
        <v>7234.92</v>
      </c>
      <c r="M1666" s="461">
        <v>9020.85</v>
      </c>
      <c r="N1666" s="461">
        <v>0</v>
      </c>
      <c r="O1666" s="461">
        <v>0</v>
      </c>
      <c r="P1666" s="461">
        <v>0</v>
      </c>
      <c r="Q1666" s="461">
        <v>0</v>
      </c>
      <c r="R1666" s="461">
        <v>0</v>
      </c>
      <c r="S1666" s="461">
        <v>0</v>
      </c>
      <c r="T1666" s="461">
        <v>0</v>
      </c>
      <c r="U1666" s="461">
        <v>0</v>
      </c>
      <c r="V1666" s="461">
        <v>0</v>
      </c>
    </row>
    <row r="1667" spans="1:22" s="455" customFormat="1" hidden="1">
      <c r="A1667" s="455" t="str">
        <f t="shared" si="50"/>
        <v>63108151901600</v>
      </c>
      <c r="B1667" s="455">
        <f>VLOOKUP(LEFT($C$3:$C$2600,3),Table!$D$2:$E$88,2,FALSE)</f>
        <v>0</v>
      </c>
      <c r="C1667" s="455" t="str">
        <f t="shared" si="51"/>
        <v>8151901600</v>
      </c>
      <c r="D1667" s="455" t="e">
        <f>VLOOKUP(G1667,Table!$G$3:$H$21,2,FALSE)</f>
        <v>#N/A</v>
      </c>
      <c r="E1667" s="452" t="s">
        <v>902</v>
      </c>
      <c r="F1667" s="452" t="s">
        <v>1986</v>
      </c>
      <c r="G1667" s="452" t="s">
        <v>1996</v>
      </c>
      <c r="H1667" s="452" t="s">
        <v>1997</v>
      </c>
      <c r="I1667" s="453" t="s">
        <v>844</v>
      </c>
      <c r="J1667" s="453">
        <v>6906.79</v>
      </c>
      <c r="K1667" s="461">
        <v>2021.03</v>
      </c>
      <c r="L1667" s="461">
        <v>2328.2600000000002</v>
      </c>
      <c r="M1667" s="461">
        <v>2557.5</v>
      </c>
      <c r="N1667" s="461">
        <v>0</v>
      </c>
      <c r="O1667" s="461">
        <v>0</v>
      </c>
      <c r="P1667" s="461">
        <v>0</v>
      </c>
      <c r="Q1667" s="461">
        <v>0</v>
      </c>
      <c r="R1667" s="461">
        <v>0</v>
      </c>
      <c r="S1667" s="461">
        <v>0</v>
      </c>
      <c r="T1667" s="461">
        <v>0</v>
      </c>
      <c r="U1667" s="461">
        <v>0</v>
      </c>
      <c r="V1667" s="461">
        <v>0</v>
      </c>
    </row>
    <row r="1668" spans="1:22" s="455" customFormat="1" hidden="1">
      <c r="A1668" s="455" t="str">
        <f t="shared" ref="A1668:A1731" si="52">F1668&amp;G1668</f>
        <v>80001001301000</v>
      </c>
      <c r="B1668" s="455" t="str">
        <f>VLOOKUP(LEFT($C$3:$C$2600,3),Table!$D$2:$E$88,2,FALSE)</f>
        <v>Net fixed assets</v>
      </c>
      <c r="C1668" s="455" t="str">
        <f t="shared" ref="C1668:C1731" si="53">IF(ISNA(D1668),G1668,D1668)</f>
        <v>1001301000</v>
      </c>
      <c r="D1668" s="455" t="e">
        <f>VLOOKUP(G1668,Table!$G$3:$H$21,2,FALSE)</f>
        <v>#N/A</v>
      </c>
      <c r="E1668" s="452" t="s">
        <v>840</v>
      </c>
      <c r="F1668" s="452" t="s">
        <v>157</v>
      </c>
      <c r="G1668" s="452" t="s">
        <v>1998</v>
      </c>
      <c r="H1668" s="452" t="s">
        <v>28</v>
      </c>
      <c r="I1668" s="453" t="s">
        <v>842</v>
      </c>
      <c r="J1668" s="453">
        <v>7333683</v>
      </c>
      <c r="K1668" s="461">
        <v>7333683</v>
      </c>
      <c r="L1668" s="461">
        <v>7333683</v>
      </c>
      <c r="M1668" s="461">
        <v>7333683</v>
      </c>
      <c r="N1668" s="461">
        <v>7333683</v>
      </c>
      <c r="O1668" s="461">
        <v>7333683</v>
      </c>
      <c r="P1668" s="461">
        <v>7333683</v>
      </c>
      <c r="Q1668" s="461">
        <v>7333683</v>
      </c>
      <c r="R1668" s="461">
        <v>7333683</v>
      </c>
      <c r="S1668" s="461">
        <v>7333683</v>
      </c>
      <c r="T1668" s="461">
        <v>7333683</v>
      </c>
      <c r="U1668" s="461">
        <v>7333683</v>
      </c>
      <c r="V1668" s="461">
        <v>7333683</v>
      </c>
    </row>
    <row r="1669" spans="1:22" s="455" customFormat="1" hidden="1">
      <c r="A1669" s="455" t="str">
        <f t="shared" si="52"/>
        <v>80001001301000</v>
      </c>
      <c r="B1669" s="455" t="str">
        <f>VLOOKUP(LEFT($C$3:$C$2600,3),Table!$D$2:$E$88,2,FALSE)</f>
        <v>Net fixed assets</v>
      </c>
      <c r="C1669" s="455" t="str">
        <f t="shared" si="53"/>
        <v>1001301000</v>
      </c>
      <c r="D1669" s="455" t="e">
        <f>VLOOKUP(G1669,Table!$G$3:$H$21,2,FALSE)</f>
        <v>#N/A</v>
      </c>
      <c r="E1669" s="452" t="s">
        <v>840</v>
      </c>
      <c r="F1669" s="452" t="s">
        <v>157</v>
      </c>
      <c r="G1669" s="452" t="s">
        <v>1998</v>
      </c>
      <c r="H1669" s="452" t="s">
        <v>28</v>
      </c>
      <c r="I1669" s="453" t="s">
        <v>844</v>
      </c>
      <c r="J1669" s="453">
        <v>0</v>
      </c>
      <c r="K1669" s="461">
        <v>0</v>
      </c>
      <c r="L1669" s="461">
        <v>0</v>
      </c>
      <c r="M1669" s="461">
        <v>0</v>
      </c>
      <c r="N1669" s="461">
        <v>0</v>
      </c>
      <c r="O1669" s="461">
        <v>0</v>
      </c>
      <c r="P1669" s="461">
        <v>0</v>
      </c>
      <c r="Q1669" s="461">
        <v>0</v>
      </c>
      <c r="R1669" s="461">
        <v>0</v>
      </c>
      <c r="S1669" s="461">
        <v>0</v>
      </c>
      <c r="T1669" s="461">
        <v>0</v>
      </c>
      <c r="U1669" s="461">
        <v>0</v>
      </c>
      <c r="V1669" s="461">
        <v>0</v>
      </c>
    </row>
    <row r="1670" spans="1:22" s="455" customFormat="1" hidden="1">
      <c r="A1670" s="455" t="str">
        <f t="shared" si="52"/>
        <v>80001001501000</v>
      </c>
      <c r="B1670" s="455" t="str">
        <f>VLOOKUP(LEFT($C$3:$C$2600,3),Table!$D$2:$E$88,2,FALSE)</f>
        <v>Net fixed assets</v>
      </c>
      <c r="C1670" s="455" t="str">
        <f t="shared" si="53"/>
        <v>1001501000</v>
      </c>
      <c r="D1670" s="455" t="e">
        <f>VLOOKUP(G1670,Table!$G$3:$H$21,2,FALSE)</f>
        <v>#N/A</v>
      </c>
      <c r="E1670" s="452" t="s">
        <v>840</v>
      </c>
      <c r="F1670" s="452" t="s">
        <v>157</v>
      </c>
      <c r="G1670" s="452" t="s">
        <v>1999</v>
      </c>
      <c r="H1670" s="452" t="s">
        <v>33</v>
      </c>
      <c r="I1670" s="453" t="s">
        <v>842</v>
      </c>
      <c r="J1670" s="453">
        <v>-1084050</v>
      </c>
      <c r="K1670" s="461">
        <v>-1084050</v>
      </c>
      <c r="L1670" s="461">
        <v>-1084050</v>
      </c>
      <c r="M1670" s="461">
        <v>-1084050</v>
      </c>
      <c r="N1670" s="461">
        <v>-1084050</v>
      </c>
      <c r="O1670" s="461">
        <v>-1084050</v>
      </c>
      <c r="P1670" s="461">
        <v>-1084050</v>
      </c>
      <c r="Q1670" s="461">
        <v>-1084050</v>
      </c>
      <c r="R1670" s="461">
        <v>-1084050</v>
      </c>
      <c r="S1670" s="461">
        <v>-1084050</v>
      </c>
      <c r="T1670" s="461">
        <v>-1084050</v>
      </c>
      <c r="U1670" s="461">
        <v>-1084050</v>
      </c>
      <c r="V1670" s="461">
        <v>-1084050</v>
      </c>
    </row>
    <row r="1671" spans="1:22" s="455" customFormat="1" hidden="1">
      <c r="A1671" s="455" t="str">
        <f t="shared" si="52"/>
        <v>80001001501000</v>
      </c>
      <c r="B1671" s="455" t="str">
        <f>VLOOKUP(LEFT($C$3:$C$2600,3),Table!$D$2:$E$88,2,FALSE)</f>
        <v>Net fixed assets</v>
      </c>
      <c r="C1671" s="455" t="str">
        <f t="shared" si="53"/>
        <v>1001501000</v>
      </c>
      <c r="D1671" s="455" t="e">
        <f>VLOOKUP(G1671,Table!$G$3:$H$21,2,FALSE)</f>
        <v>#N/A</v>
      </c>
      <c r="E1671" s="452" t="s">
        <v>840</v>
      </c>
      <c r="F1671" s="452" t="s">
        <v>157</v>
      </c>
      <c r="G1671" s="452" t="s">
        <v>1999</v>
      </c>
      <c r="H1671" s="452" t="s">
        <v>33</v>
      </c>
      <c r="I1671" s="453" t="s">
        <v>844</v>
      </c>
      <c r="J1671" s="453">
        <v>0</v>
      </c>
      <c r="K1671" s="461">
        <v>0</v>
      </c>
      <c r="L1671" s="461">
        <v>0</v>
      </c>
      <c r="M1671" s="461">
        <v>0</v>
      </c>
      <c r="N1671" s="461">
        <v>0</v>
      </c>
      <c r="O1671" s="461">
        <v>0</v>
      </c>
      <c r="P1671" s="461">
        <v>0</v>
      </c>
      <c r="Q1671" s="461">
        <v>0</v>
      </c>
      <c r="R1671" s="461">
        <v>0</v>
      </c>
      <c r="S1671" s="461">
        <v>0</v>
      </c>
      <c r="T1671" s="461">
        <v>0</v>
      </c>
      <c r="U1671" s="461">
        <v>0</v>
      </c>
      <c r="V1671" s="461">
        <v>0</v>
      </c>
    </row>
    <row r="1672" spans="1:22" s="455" customFormat="1" hidden="1">
      <c r="A1672" s="455" t="str">
        <f t="shared" si="52"/>
        <v>80001021000000</v>
      </c>
      <c r="B1672" s="455" t="str">
        <f>VLOOKUP(LEFT($C$3:$C$2600,3),Table!$D$2:$E$88,2,FALSE)</f>
        <v>Net fixed assets</v>
      </c>
      <c r="C1672" s="455" t="str">
        <f t="shared" si="53"/>
        <v>1021000000</v>
      </c>
      <c r="D1672" s="455" t="e">
        <f>VLOOKUP(G1672,Table!$G$3:$H$21,2,FALSE)</f>
        <v>#N/A</v>
      </c>
      <c r="E1672" s="452" t="s">
        <v>840</v>
      </c>
      <c r="F1672" s="452" t="s">
        <v>157</v>
      </c>
      <c r="G1672" s="452" t="s">
        <v>846</v>
      </c>
      <c r="H1672" s="452" t="s">
        <v>36</v>
      </c>
      <c r="I1672" s="453" t="s">
        <v>842</v>
      </c>
      <c r="J1672" s="453">
        <v>5450</v>
      </c>
      <c r="K1672" s="461">
        <v>5450</v>
      </c>
      <c r="L1672" s="461">
        <v>5450</v>
      </c>
      <c r="M1672" s="461">
        <v>5450</v>
      </c>
      <c r="N1672" s="461">
        <v>5450</v>
      </c>
      <c r="O1672" s="461">
        <v>5450</v>
      </c>
      <c r="P1672" s="461">
        <v>5450</v>
      </c>
      <c r="Q1672" s="461">
        <v>5450</v>
      </c>
      <c r="R1672" s="461">
        <v>5450</v>
      </c>
      <c r="S1672" s="461">
        <v>5450</v>
      </c>
      <c r="T1672" s="461">
        <v>5450</v>
      </c>
      <c r="U1672" s="461">
        <v>5450</v>
      </c>
      <c r="V1672" s="461">
        <v>5450</v>
      </c>
    </row>
    <row r="1673" spans="1:22" s="455" customFormat="1" hidden="1">
      <c r="A1673" s="455" t="str">
        <f t="shared" si="52"/>
        <v>80001021000000</v>
      </c>
      <c r="B1673" s="455" t="str">
        <f>VLOOKUP(LEFT($C$3:$C$2600,3),Table!$D$2:$E$88,2,FALSE)</f>
        <v>Net fixed assets</v>
      </c>
      <c r="C1673" s="455" t="str">
        <f t="shared" si="53"/>
        <v>1021000000</v>
      </c>
      <c r="D1673" s="455" t="e">
        <f>VLOOKUP(G1673,Table!$G$3:$H$21,2,FALSE)</f>
        <v>#N/A</v>
      </c>
      <c r="E1673" s="452" t="s">
        <v>840</v>
      </c>
      <c r="F1673" s="452" t="s">
        <v>157</v>
      </c>
      <c r="G1673" s="452" t="s">
        <v>846</v>
      </c>
      <c r="H1673" s="452" t="s">
        <v>36</v>
      </c>
      <c r="I1673" s="453" t="s">
        <v>844</v>
      </c>
      <c r="J1673" s="453">
        <v>0</v>
      </c>
      <c r="K1673" s="461">
        <v>0</v>
      </c>
      <c r="L1673" s="461">
        <v>0</v>
      </c>
      <c r="M1673" s="461">
        <v>0</v>
      </c>
      <c r="N1673" s="461">
        <v>0</v>
      </c>
      <c r="O1673" s="461">
        <v>0</v>
      </c>
      <c r="P1673" s="461">
        <v>0</v>
      </c>
      <c r="Q1673" s="461">
        <v>0</v>
      </c>
      <c r="R1673" s="461">
        <v>0</v>
      </c>
      <c r="S1673" s="461">
        <v>0</v>
      </c>
      <c r="T1673" s="461">
        <v>0</v>
      </c>
      <c r="U1673" s="461">
        <v>0</v>
      </c>
      <c r="V1673" s="461">
        <v>0</v>
      </c>
    </row>
    <row r="1674" spans="1:22" s="455" customFormat="1" hidden="1">
      <c r="A1674" s="455" t="str">
        <f t="shared" si="52"/>
        <v>80001021100000</v>
      </c>
      <c r="B1674" s="455" t="str">
        <f>VLOOKUP(LEFT($C$3:$C$2600,3),Table!$D$2:$E$88,2,FALSE)</f>
        <v>Net fixed assets</v>
      </c>
      <c r="C1674" s="455" t="str">
        <f t="shared" si="53"/>
        <v>1021100000</v>
      </c>
      <c r="D1674" s="455" t="e">
        <f>VLOOKUP(G1674,Table!$G$3:$H$21,2,FALSE)</f>
        <v>#N/A</v>
      </c>
      <c r="E1674" s="452" t="s">
        <v>840</v>
      </c>
      <c r="F1674" s="452" t="s">
        <v>157</v>
      </c>
      <c r="G1674" s="452" t="s">
        <v>847</v>
      </c>
      <c r="H1674" s="452" t="s">
        <v>37</v>
      </c>
      <c r="I1674" s="453" t="s">
        <v>842</v>
      </c>
      <c r="J1674" s="453">
        <v>1358013.37</v>
      </c>
      <c r="K1674" s="461">
        <v>1358013.37</v>
      </c>
      <c r="L1674" s="461">
        <v>1358013.37</v>
      </c>
      <c r="M1674" s="461">
        <v>1358013.37</v>
      </c>
      <c r="N1674" s="461">
        <v>1358013.37</v>
      </c>
      <c r="O1674" s="461">
        <v>1358013.37</v>
      </c>
      <c r="P1674" s="461">
        <v>1358013.37</v>
      </c>
      <c r="Q1674" s="461">
        <v>1358013.37</v>
      </c>
      <c r="R1674" s="461">
        <v>1358013.37</v>
      </c>
      <c r="S1674" s="461">
        <v>1358013.37</v>
      </c>
      <c r="T1674" s="461">
        <v>1358013.37</v>
      </c>
      <c r="U1674" s="461">
        <v>1358013.37</v>
      </c>
      <c r="V1674" s="461">
        <v>1358013.37</v>
      </c>
    </row>
    <row r="1675" spans="1:22" s="455" customFormat="1" hidden="1">
      <c r="A1675" s="455" t="str">
        <f t="shared" si="52"/>
        <v>80001021100000</v>
      </c>
      <c r="B1675" s="455" t="str">
        <f>VLOOKUP(LEFT($C$3:$C$2600,3),Table!$D$2:$E$88,2,FALSE)</f>
        <v>Net fixed assets</v>
      </c>
      <c r="C1675" s="455" t="str">
        <f t="shared" si="53"/>
        <v>1021100000</v>
      </c>
      <c r="D1675" s="455" t="e">
        <f>VLOOKUP(G1675,Table!$G$3:$H$21,2,FALSE)</f>
        <v>#N/A</v>
      </c>
      <c r="E1675" s="452" t="s">
        <v>840</v>
      </c>
      <c r="F1675" s="452" t="s">
        <v>157</v>
      </c>
      <c r="G1675" s="452" t="s">
        <v>847</v>
      </c>
      <c r="H1675" s="452" t="s">
        <v>37</v>
      </c>
      <c r="I1675" s="453" t="s">
        <v>844</v>
      </c>
      <c r="J1675" s="453">
        <v>0</v>
      </c>
      <c r="K1675" s="461">
        <v>0</v>
      </c>
      <c r="L1675" s="461">
        <v>0</v>
      </c>
      <c r="M1675" s="461">
        <v>0</v>
      </c>
      <c r="N1675" s="461">
        <v>0</v>
      </c>
      <c r="O1675" s="461">
        <v>0</v>
      </c>
      <c r="P1675" s="461">
        <v>0</v>
      </c>
      <c r="Q1675" s="461">
        <v>0</v>
      </c>
      <c r="R1675" s="461">
        <v>0</v>
      </c>
      <c r="S1675" s="461">
        <v>0</v>
      </c>
      <c r="T1675" s="461">
        <v>0</v>
      </c>
      <c r="U1675" s="461">
        <v>0</v>
      </c>
      <c r="V1675" s="461">
        <v>0</v>
      </c>
    </row>
    <row r="1676" spans="1:22" s="455" customFormat="1" hidden="1">
      <c r="A1676" s="455" t="str">
        <f t="shared" si="52"/>
        <v>80001021200000</v>
      </c>
      <c r="B1676" s="455" t="str">
        <f>VLOOKUP(LEFT($C$3:$C$2600,3),Table!$D$2:$E$88,2,FALSE)</f>
        <v>Net fixed assets</v>
      </c>
      <c r="C1676" s="455" t="str">
        <f t="shared" si="53"/>
        <v>1021200000</v>
      </c>
      <c r="D1676" s="455" t="e">
        <f>VLOOKUP(G1676,Table!$G$3:$H$21,2,FALSE)</f>
        <v>#N/A</v>
      </c>
      <c r="E1676" s="452" t="s">
        <v>840</v>
      </c>
      <c r="F1676" s="452" t="s">
        <v>157</v>
      </c>
      <c r="G1676" s="452" t="s">
        <v>848</v>
      </c>
      <c r="H1676" s="452" t="s">
        <v>38</v>
      </c>
      <c r="I1676" s="453" t="s">
        <v>842</v>
      </c>
      <c r="J1676" s="453">
        <v>981827</v>
      </c>
      <c r="K1676" s="461">
        <v>981827</v>
      </c>
      <c r="L1676" s="461">
        <v>981827</v>
      </c>
      <c r="M1676" s="461">
        <v>981827</v>
      </c>
      <c r="N1676" s="461">
        <v>981827</v>
      </c>
      <c r="O1676" s="461">
        <v>981827</v>
      </c>
      <c r="P1676" s="461">
        <v>981827</v>
      </c>
      <c r="Q1676" s="461">
        <v>981827</v>
      </c>
      <c r="R1676" s="461">
        <v>981827</v>
      </c>
      <c r="S1676" s="461">
        <v>981827</v>
      </c>
      <c r="T1676" s="461">
        <v>981827</v>
      </c>
      <c r="U1676" s="461">
        <v>981827</v>
      </c>
      <c r="V1676" s="461">
        <v>981827</v>
      </c>
    </row>
    <row r="1677" spans="1:22" s="455" customFormat="1" hidden="1">
      <c r="A1677" s="455" t="str">
        <f t="shared" si="52"/>
        <v>80001021200000</v>
      </c>
      <c r="B1677" s="455" t="str">
        <f>VLOOKUP(LEFT($C$3:$C$2600,3),Table!$D$2:$E$88,2,FALSE)</f>
        <v>Net fixed assets</v>
      </c>
      <c r="C1677" s="455" t="str">
        <f t="shared" si="53"/>
        <v>1021200000</v>
      </c>
      <c r="D1677" s="455" t="e">
        <f>VLOOKUP(G1677,Table!$G$3:$H$21,2,FALSE)</f>
        <v>#N/A</v>
      </c>
      <c r="E1677" s="452" t="s">
        <v>840</v>
      </c>
      <c r="F1677" s="452" t="s">
        <v>157</v>
      </c>
      <c r="G1677" s="452" t="s">
        <v>848</v>
      </c>
      <c r="H1677" s="452" t="s">
        <v>38</v>
      </c>
      <c r="I1677" s="453" t="s">
        <v>844</v>
      </c>
      <c r="J1677" s="453">
        <v>0</v>
      </c>
      <c r="K1677" s="461">
        <v>0</v>
      </c>
      <c r="L1677" s="461">
        <v>0</v>
      </c>
      <c r="M1677" s="461">
        <v>0</v>
      </c>
      <c r="N1677" s="461">
        <v>0</v>
      </c>
      <c r="O1677" s="461">
        <v>0</v>
      </c>
      <c r="P1677" s="461">
        <v>0</v>
      </c>
      <c r="Q1677" s="461">
        <v>0</v>
      </c>
      <c r="R1677" s="461">
        <v>0</v>
      </c>
      <c r="S1677" s="461">
        <v>0</v>
      </c>
      <c r="T1677" s="461">
        <v>0</v>
      </c>
      <c r="U1677" s="461">
        <v>0</v>
      </c>
      <c r="V1677" s="461">
        <v>0</v>
      </c>
    </row>
    <row r="1678" spans="1:22" s="455" customFormat="1" hidden="1">
      <c r="A1678" s="455" t="str">
        <f t="shared" si="52"/>
        <v>80001031000000</v>
      </c>
      <c r="B1678" s="455" t="str">
        <f>VLOOKUP(LEFT($C$3:$C$2600,3),Table!$D$2:$E$88,2,FALSE)</f>
        <v>Net fixed assets</v>
      </c>
      <c r="C1678" s="455" t="str">
        <f t="shared" si="53"/>
        <v>1031000000</v>
      </c>
      <c r="D1678" s="455" t="e">
        <f>VLOOKUP(G1678,Table!$G$3:$H$21,2,FALSE)</f>
        <v>#N/A</v>
      </c>
      <c r="E1678" s="452" t="s">
        <v>840</v>
      </c>
      <c r="F1678" s="452" t="s">
        <v>157</v>
      </c>
      <c r="G1678" s="452" t="s">
        <v>849</v>
      </c>
      <c r="H1678" s="452" t="s">
        <v>39</v>
      </c>
      <c r="I1678" s="453" t="s">
        <v>842</v>
      </c>
      <c r="J1678" s="453">
        <v>306587.38</v>
      </c>
      <c r="K1678" s="461">
        <v>306587.38</v>
      </c>
      <c r="L1678" s="461">
        <v>306587.38</v>
      </c>
      <c r="M1678" s="461">
        <v>306587.38</v>
      </c>
      <c r="N1678" s="461">
        <v>306587.38</v>
      </c>
      <c r="O1678" s="461">
        <v>306587.38</v>
      </c>
      <c r="P1678" s="461">
        <v>306587.38</v>
      </c>
      <c r="Q1678" s="461">
        <v>306587.38</v>
      </c>
      <c r="R1678" s="461">
        <v>306587.38</v>
      </c>
      <c r="S1678" s="461">
        <v>306587.38</v>
      </c>
      <c r="T1678" s="461">
        <v>306587.38</v>
      </c>
      <c r="U1678" s="461">
        <v>306587.38</v>
      </c>
      <c r="V1678" s="461">
        <v>306587.38</v>
      </c>
    </row>
    <row r="1679" spans="1:22" s="455" customFormat="1" hidden="1">
      <c r="A1679" s="455" t="str">
        <f t="shared" si="52"/>
        <v>80001031000000</v>
      </c>
      <c r="B1679" s="455" t="str">
        <f>VLOOKUP(LEFT($C$3:$C$2600,3),Table!$D$2:$E$88,2,FALSE)</f>
        <v>Net fixed assets</v>
      </c>
      <c r="C1679" s="455" t="str">
        <f t="shared" si="53"/>
        <v>1031000000</v>
      </c>
      <c r="D1679" s="455" t="e">
        <f>VLOOKUP(G1679,Table!$G$3:$H$21,2,FALSE)</f>
        <v>#N/A</v>
      </c>
      <c r="E1679" s="452" t="s">
        <v>840</v>
      </c>
      <c r="F1679" s="452" t="s">
        <v>157</v>
      </c>
      <c r="G1679" s="452" t="s">
        <v>849</v>
      </c>
      <c r="H1679" s="452" t="s">
        <v>39</v>
      </c>
      <c r="I1679" s="453" t="s">
        <v>844</v>
      </c>
      <c r="J1679" s="453">
        <v>0</v>
      </c>
      <c r="K1679" s="461">
        <v>0</v>
      </c>
      <c r="L1679" s="461">
        <v>0</v>
      </c>
      <c r="M1679" s="461">
        <v>0</v>
      </c>
      <c r="N1679" s="461">
        <v>0</v>
      </c>
      <c r="O1679" s="461">
        <v>0</v>
      </c>
      <c r="P1679" s="461">
        <v>0</v>
      </c>
      <c r="Q1679" s="461">
        <v>0</v>
      </c>
      <c r="R1679" s="461">
        <v>0</v>
      </c>
      <c r="S1679" s="461">
        <v>0</v>
      </c>
      <c r="T1679" s="461">
        <v>0</v>
      </c>
      <c r="U1679" s="461">
        <v>0</v>
      </c>
      <c r="V1679" s="461">
        <v>0</v>
      </c>
    </row>
    <row r="1680" spans="1:22" s="455" customFormat="1" hidden="1">
      <c r="A1680" s="455" t="str">
        <f t="shared" si="52"/>
        <v>80001101000000</v>
      </c>
      <c r="B1680" s="455" t="str">
        <f>VLOOKUP(LEFT($C$3:$C$2600,3),Table!$D$2:$E$88,2,FALSE)</f>
        <v>Investments</v>
      </c>
      <c r="C1680" s="455" t="str">
        <f t="shared" si="53"/>
        <v>1101000000</v>
      </c>
      <c r="D1680" s="455" t="e">
        <f>VLOOKUP(G1680,Table!$G$3:$H$21,2,FALSE)</f>
        <v>#N/A</v>
      </c>
      <c r="E1680" s="452" t="s">
        <v>840</v>
      </c>
      <c r="F1680" s="452" t="s">
        <v>157</v>
      </c>
      <c r="G1680" s="452" t="s">
        <v>2000</v>
      </c>
      <c r="H1680" s="452" t="s">
        <v>183</v>
      </c>
      <c r="I1680" s="453" t="s">
        <v>842</v>
      </c>
      <c r="J1680" s="453">
        <v>26859800</v>
      </c>
      <c r="K1680" s="461">
        <v>26859800</v>
      </c>
      <c r="L1680" s="461">
        <v>26859800</v>
      </c>
      <c r="M1680" s="461">
        <v>26859800</v>
      </c>
      <c r="N1680" s="461">
        <v>26859800</v>
      </c>
      <c r="O1680" s="461">
        <v>26859800</v>
      </c>
      <c r="P1680" s="461">
        <v>26859800</v>
      </c>
      <c r="Q1680" s="461">
        <v>26859800</v>
      </c>
      <c r="R1680" s="461">
        <v>26859800</v>
      </c>
      <c r="S1680" s="461">
        <v>26859800</v>
      </c>
      <c r="T1680" s="461">
        <v>26859800</v>
      </c>
      <c r="U1680" s="461">
        <v>26859800</v>
      </c>
      <c r="V1680" s="461">
        <v>26859800</v>
      </c>
    </row>
    <row r="1681" spans="1:22" s="455" customFormat="1" hidden="1">
      <c r="A1681" s="455" t="str">
        <f t="shared" si="52"/>
        <v>80001301000000</v>
      </c>
      <c r="B1681" s="455" t="str">
        <f>VLOOKUP(LEFT($C$3:$C$2600,3),Table!$D$2:$E$88,2,FALSE)</f>
        <v>Other assets</v>
      </c>
      <c r="C1681" s="455" t="str">
        <f t="shared" si="53"/>
        <v>1301000000</v>
      </c>
      <c r="D1681" s="455" t="e">
        <f>VLOOKUP(G1681,Table!$G$3:$H$21,2,FALSE)</f>
        <v>#N/A</v>
      </c>
      <c r="E1681" s="452" t="s">
        <v>840</v>
      </c>
      <c r="F1681" s="452" t="s">
        <v>157</v>
      </c>
      <c r="G1681" s="452" t="s">
        <v>2001</v>
      </c>
      <c r="H1681" s="452" t="s">
        <v>162</v>
      </c>
      <c r="I1681" s="453" t="s">
        <v>842</v>
      </c>
      <c r="J1681" s="453">
        <v>135780</v>
      </c>
      <c r="K1681" s="461">
        <v>111360</v>
      </c>
      <c r="L1681" s="461">
        <v>86940</v>
      </c>
      <c r="M1681" s="461">
        <v>62520</v>
      </c>
      <c r="N1681" s="461">
        <v>146520</v>
      </c>
      <c r="O1681" s="461">
        <v>146520</v>
      </c>
      <c r="P1681" s="461">
        <v>146520</v>
      </c>
      <c r="Q1681" s="461">
        <v>146520</v>
      </c>
      <c r="R1681" s="461">
        <v>146520</v>
      </c>
      <c r="S1681" s="461">
        <v>146520</v>
      </c>
      <c r="T1681" s="461">
        <v>146520</v>
      </c>
      <c r="U1681" s="461">
        <v>146520</v>
      </c>
      <c r="V1681" s="461">
        <v>146520</v>
      </c>
    </row>
    <row r="1682" spans="1:22" s="455" customFormat="1" hidden="1">
      <c r="A1682" s="455" t="str">
        <f t="shared" si="52"/>
        <v>80001301400000</v>
      </c>
      <c r="B1682" s="455" t="str">
        <f>VLOOKUP(LEFT($C$3:$C$2600,3),Table!$D$2:$E$88,2,FALSE)</f>
        <v>Other assets</v>
      </c>
      <c r="C1682" s="455" t="str">
        <f t="shared" si="53"/>
        <v>1301400000</v>
      </c>
      <c r="D1682" s="455" t="e">
        <f>VLOOKUP(G1682,Table!$G$3:$H$21,2,FALSE)</f>
        <v>#N/A</v>
      </c>
      <c r="E1682" s="452" t="s">
        <v>840</v>
      </c>
      <c r="F1682" s="452" t="s">
        <v>157</v>
      </c>
      <c r="G1682" s="452" t="s">
        <v>2002</v>
      </c>
      <c r="H1682" s="452" t="s">
        <v>807</v>
      </c>
      <c r="I1682" s="453" t="s">
        <v>842</v>
      </c>
      <c r="J1682" s="453">
        <v>79063.259999999995</v>
      </c>
      <c r="K1682" s="461">
        <v>66878.77</v>
      </c>
      <c r="L1682" s="461">
        <v>54457.96</v>
      </c>
      <c r="M1682" s="461">
        <v>43638.92</v>
      </c>
      <c r="N1682" s="461">
        <v>43638.92</v>
      </c>
      <c r="O1682" s="461">
        <v>43638.92</v>
      </c>
      <c r="P1682" s="461">
        <v>43638.92</v>
      </c>
      <c r="Q1682" s="461">
        <v>43638.92</v>
      </c>
      <c r="R1682" s="461">
        <v>43638.92</v>
      </c>
      <c r="S1682" s="461">
        <v>43638.92</v>
      </c>
      <c r="T1682" s="461">
        <v>43638.92</v>
      </c>
      <c r="U1682" s="461">
        <v>43638.92</v>
      </c>
      <c r="V1682" s="461">
        <v>43638.92</v>
      </c>
    </row>
    <row r="1683" spans="1:22" s="455" customFormat="1" hidden="1">
      <c r="A1683" s="455" t="str">
        <f t="shared" si="52"/>
        <v>80001301401000</v>
      </c>
      <c r="B1683" s="455" t="str">
        <f>VLOOKUP(LEFT($C$3:$C$2600,3),Table!$D$2:$E$88,2,FALSE)</f>
        <v>Other assets</v>
      </c>
      <c r="C1683" s="455" t="str">
        <f t="shared" si="53"/>
        <v>1301401000</v>
      </c>
      <c r="D1683" s="455" t="e">
        <f>VLOOKUP(G1683,Table!$G$3:$H$21,2,FALSE)</f>
        <v>#N/A</v>
      </c>
      <c r="E1683" s="452" t="s">
        <v>840</v>
      </c>
      <c r="F1683" s="452" t="s">
        <v>157</v>
      </c>
      <c r="G1683" s="452" t="s">
        <v>2003</v>
      </c>
      <c r="H1683" s="452" t="s">
        <v>163</v>
      </c>
      <c r="I1683" s="453" t="s">
        <v>842</v>
      </c>
      <c r="J1683" s="453">
        <v>7777.4</v>
      </c>
      <c r="K1683" s="461">
        <v>6542.3</v>
      </c>
      <c r="L1683" s="461">
        <v>8007.2</v>
      </c>
      <c r="M1683" s="461">
        <v>2705.1</v>
      </c>
      <c r="N1683" s="461">
        <v>2705.1</v>
      </c>
      <c r="O1683" s="461">
        <v>2705.1</v>
      </c>
      <c r="P1683" s="461">
        <v>2705.1</v>
      </c>
      <c r="Q1683" s="461">
        <v>2705.1</v>
      </c>
      <c r="R1683" s="461">
        <v>2705.1</v>
      </c>
      <c r="S1683" s="461">
        <v>2705.1</v>
      </c>
      <c r="T1683" s="461">
        <v>2705.1</v>
      </c>
      <c r="U1683" s="461">
        <v>2705.1</v>
      </c>
      <c r="V1683" s="461">
        <v>2705.1</v>
      </c>
    </row>
    <row r="1684" spans="1:22" s="455" customFormat="1" hidden="1">
      <c r="A1684" s="455" t="str">
        <f t="shared" si="52"/>
        <v>80001301401100</v>
      </c>
      <c r="B1684" s="455" t="str">
        <f>VLOOKUP(LEFT($C$3:$C$2600,3),Table!$D$2:$E$88,2,FALSE)</f>
        <v>Other assets</v>
      </c>
      <c r="C1684" s="455" t="str">
        <f t="shared" si="53"/>
        <v>1301401100</v>
      </c>
      <c r="D1684" s="455" t="e">
        <f>VLOOKUP(G1684,Table!$G$3:$H$21,2,FALSE)</f>
        <v>#N/A</v>
      </c>
      <c r="E1684" s="452" t="s">
        <v>840</v>
      </c>
      <c r="F1684" s="452" t="s">
        <v>157</v>
      </c>
      <c r="G1684" s="452" t="s">
        <v>2004</v>
      </c>
      <c r="H1684" s="452" t="s">
        <v>164</v>
      </c>
      <c r="I1684" s="453" t="s">
        <v>842</v>
      </c>
      <c r="J1684" s="453">
        <v>4898</v>
      </c>
      <c r="K1684" s="461">
        <v>6154</v>
      </c>
      <c r="L1684" s="461">
        <v>4744</v>
      </c>
      <c r="M1684" s="461">
        <v>5386</v>
      </c>
      <c r="N1684" s="461">
        <v>5386</v>
      </c>
      <c r="O1684" s="461">
        <v>5386</v>
      </c>
      <c r="P1684" s="461">
        <v>5386</v>
      </c>
      <c r="Q1684" s="461">
        <v>5386</v>
      </c>
      <c r="R1684" s="461">
        <v>5386</v>
      </c>
      <c r="S1684" s="461">
        <v>5386</v>
      </c>
      <c r="T1684" s="461">
        <v>5386</v>
      </c>
      <c r="U1684" s="461">
        <v>5386</v>
      </c>
      <c r="V1684" s="461">
        <v>5386</v>
      </c>
    </row>
    <row r="1685" spans="1:22" s="455" customFormat="1" hidden="1">
      <c r="A1685" s="455" t="str">
        <f t="shared" si="52"/>
        <v>80001301401200</v>
      </c>
      <c r="B1685" s="455" t="str">
        <f>VLOOKUP(LEFT($C$3:$C$2600,3),Table!$D$2:$E$88,2,FALSE)</f>
        <v>Other assets</v>
      </c>
      <c r="C1685" s="455" t="str">
        <f t="shared" si="53"/>
        <v>1301401200</v>
      </c>
      <c r="D1685" s="455" t="e">
        <f>VLOOKUP(G1685,Table!$G$3:$H$21,2,FALSE)</f>
        <v>#N/A</v>
      </c>
      <c r="E1685" s="452" t="s">
        <v>840</v>
      </c>
      <c r="F1685" s="452" t="s">
        <v>157</v>
      </c>
      <c r="G1685" s="452" t="s">
        <v>2005</v>
      </c>
      <c r="H1685" s="452" t="s">
        <v>165</v>
      </c>
      <c r="I1685" s="453" t="s">
        <v>842</v>
      </c>
      <c r="J1685" s="453">
        <v>1776</v>
      </c>
      <c r="K1685" s="461">
        <v>3668</v>
      </c>
      <c r="L1685" s="461">
        <v>4778</v>
      </c>
      <c r="M1685" s="461">
        <v>4556</v>
      </c>
      <c r="N1685" s="461">
        <v>4556</v>
      </c>
      <c r="O1685" s="461">
        <v>4556</v>
      </c>
      <c r="P1685" s="461">
        <v>4556</v>
      </c>
      <c r="Q1685" s="461">
        <v>4556</v>
      </c>
      <c r="R1685" s="461">
        <v>4556</v>
      </c>
      <c r="S1685" s="461">
        <v>4556</v>
      </c>
      <c r="T1685" s="461">
        <v>4556</v>
      </c>
      <c r="U1685" s="461">
        <v>4556</v>
      </c>
      <c r="V1685" s="461">
        <v>4556</v>
      </c>
    </row>
    <row r="1686" spans="1:22" s="455" customFormat="1" hidden="1">
      <c r="A1686" s="455" t="str">
        <f t="shared" si="52"/>
        <v>80001301600000</v>
      </c>
      <c r="B1686" s="455" t="str">
        <f>VLOOKUP(LEFT($C$3:$C$2600,3),Table!$D$2:$E$88,2,FALSE)</f>
        <v>Other assets</v>
      </c>
      <c r="C1686" s="455" t="str">
        <f t="shared" si="53"/>
        <v>1301600000</v>
      </c>
      <c r="D1686" s="455" t="e">
        <f>VLOOKUP(G1686,Table!$G$3:$H$21,2,FALSE)</f>
        <v>#N/A</v>
      </c>
      <c r="E1686" s="452" t="s">
        <v>840</v>
      </c>
      <c r="F1686" s="452" t="s">
        <v>157</v>
      </c>
      <c r="G1686" s="452" t="s">
        <v>2006</v>
      </c>
      <c r="H1686" s="452" t="s">
        <v>166</v>
      </c>
      <c r="I1686" s="453" t="s">
        <v>842</v>
      </c>
      <c r="J1686" s="453">
        <v>72675</v>
      </c>
      <c r="K1686" s="461">
        <v>72600</v>
      </c>
      <c r="L1686" s="461">
        <v>72600</v>
      </c>
      <c r="M1686" s="461">
        <v>88150</v>
      </c>
      <c r="N1686" s="461">
        <v>88150</v>
      </c>
      <c r="O1686" s="461">
        <v>88150</v>
      </c>
      <c r="P1686" s="461">
        <v>88150</v>
      </c>
      <c r="Q1686" s="461">
        <v>88150</v>
      </c>
      <c r="R1686" s="461">
        <v>88150</v>
      </c>
      <c r="S1686" s="461">
        <v>88150</v>
      </c>
      <c r="T1686" s="461">
        <v>88150</v>
      </c>
      <c r="U1686" s="461">
        <v>88150</v>
      </c>
      <c r="V1686" s="461">
        <v>88150</v>
      </c>
    </row>
    <row r="1687" spans="1:22" s="455" customFormat="1" hidden="1">
      <c r="A1687" s="455" t="str">
        <f t="shared" si="52"/>
        <v>80001301601000</v>
      </c>
      <c r="B1687" s="455" t="str">
        <f>VLOOKUP(LEFT($C$3:$C$2600,3),Table!$D$2:$E$88,2,FALSE)</f>
        <v>Other assets</v>
      </c>
      <c r="C1687" s="455" t="str">
        <f t="shared" si="53"/>
        <v>1301601000</v>
      </c>
      <c r="D1687" s="455" t="e">
        <f>VLOOKUP(G1687,Table!$G$3:$H$21,2,FALSE)</f>
        <v>#N/A</v>
      </c>
      <c r="E1687" s="452" t="s">
        <v>840</v>
      </c>
      <c r="F1687" s="452" t="s">
        <v>157</v>
      </c>
      <c r="G1687" s="452" t="s">
        <v>2007</v>
      </c>
      <c r="H1687" s="452" t="s">
        <v>96</v>
      </c>
      <c r="I1687" s="453" t="s">
        <v>842</v>
      </c>
      <c r="J1687" s="453">
        <v>-3550</v>
      </c>
      <c r="K1687" s="461">
        <v>-3550</v>
      </c>
      <c r="L1687" s="461">
        <v>-3550</v>
      </c>
      <c r="M1687" s="461">
        <v>-3550</v>
      </c>
      <c r="N1687" s="461">
        <v>-3550</v>
      </c>
      <c r="O1687" s="461">
        <v>-3550</v>
      </c>
      <c r="P1687" s="461">
        <v>-3550</v>
      </c>
      <c r="Q1687" s="461">
        <v>-3550</v>
      </c>
      <c r="R1687" s="461">
        <v>-3550</v>
      </c>
      <c r="S1687" s="461">
        <v>-3550</v>
      </c>
      <c r="T1687" s="461">
        <v>-3550</v>
      </c>
      <c r="U1687" s="461">
        <v>-3550</v>
      </c>
      <c r="V1687" s="461">
        <v>-3550</v>
      </c>
    </row>
    <row r="1688" spans="1:22" s="455" customFormat="1" hidden="1">
      <c r="A1688" s="455" t="str">
        <f t="shared" si="52"/>
        <v>80001301601500</v>
      </c>
      <c r="B1688" s="455" t="str">
        <f>VLOOKUP(LEFT($C$3:$C$2600,3),Table!$D$2:$E$88,2,FALSE)</f>
        <v>Other assets</v>
      </c>
      <c r="C1688" s="455" t="str">
        <f t="shared" si="53"/>
        <v>1301601500</v>
      </c>
      <c r="D1688" s="455" t="e">
        <f>VLOOKUP(G1688,Table!$G$3:$H$21,2,FALSE)</f>
        <v>#N/A</v>
      </c>
      <c r="E1688" s="452" t="s">
        <v>840</v>
      </c>
      <c r="F1688" s="452" t="s">
        <v>157</v>
      </c>
      <c r="G1688" s="452" t="s">
        <v>2008</v>
      </c>
      <c r="H1688" s="452" t="s">
        <v>167</v>
      </c>
      <c r="I1688" s="453" t="s">
        <v>842</v>
      </c>
      <c r="J1688" s="453">
        <v>30000</v>
      </c>
      <c r="K1688" s="461">
        <v>30000</v>
      </c>
      <c r="L1688" s="461">
        <v>85250</v>
      </c>
      <c r="M1688" s="461">
        <v>85250</v>
      </c>
      <c r="N1688" s="461">
        <v>85250</v>
      </c>
      <c r="O1688" s="461">
        <v>85250</v>
      </c>
      <c r="P1688" s="461">
        <v>85250</v>
      </c>
      <c r="Q1688" s="461">
        <v>85250</v>
      </c>
      <c r="R1688" s="461">
        <v>85250</v>
      </c>
      <c r="S1688" s="461">
        <v>85250</v>
      </c>
      <c r="T1688" s="461">
        <v>85250</v>
      </c>
      <c r="U1688" s="461">
        <v>85250</v>
      </c>
      <c r="V1688" s="461">
        <v>85250</v>
      </c>
    </row>
    <row r="1689" spans="1:22" s="455" customFormat="1" hidden="1">
      <c r="A1689" s="455" t="str">
        <f t="shared" si="52"/>
        <v>80001301601600</v>
      </c>
      <c r="B1689" s="455" t="str">
        <f>VLOOKUP(LEFT($C$3:$C$2600,3),Table!$D$2:$E$88,2,FALSE)</f>
        <v>Other assets</v>
      </c>
      <c r="C1689" s="455" t="str">
        <f t="shared" si="53"/>
        <v>1301601600</v>
      </c>
      <c r="D1689" s="455" t="e">
        <f>VLOOKUP(G1689,Table!$G$3:$H$21,2,FALSE)</f>
        <v>#N/A</v>
      </c>
      <c r="E1689" s="452" t="s">
        <v>840</v>
      </c>
      <c r="F1689" s="452" t="s">
        <v>157</v>
      </c>
      <c r="G1689" s="452" t="s">
        <v>2009</v>
      </c>
      <c r="H1689" s="452" t="s">
        <v>2010</v>
      </c>
      <c r="I1689" s="453" t="s">
        <v>842</v>
      </c>
      <c r="J1689" s="453">
        <v>-25000</v>
      </c>
      <c r="K1689" s="461">
        <v>-25000</v>
      </c>
      <c r="L1689" s="461">
        <v>-25000</v>
      </c>
      <c r="M1689" s="461">
        <v>-25000</v>
      </c>
      <c r="N1689" s="461">
        <v>-25000</v>
      </c>
      <c r="O1689" s="461">
        <v>-25000</v>
      </c>
      <c r="P1689" s="461">
        <v>-25000</v>
      </c>
      <c r="Q1689" s="461">
        <v>-25000</v>
      </c>
      <c r="R1689" s="461">
        <v>-25000</v>
      </c>
      <c r="S1689" s="461">
        <v>-25000</v>
      </c>
      <c r="T1689" s="461">
        <v>-25000</v>
      </c>
      <c r="U1689" s="461">
        <v>-25000</v>
      </c>
      <c r="V1689" s="461">
        <v>-25000</v>
      </c>
    </row>
    <row r="1690" spans="1:22" s="455" customFormat="1" hidden="1">
      <c r="A1690" s="455" t="str">
        <f t="shared" si="52"/>
        <v>80001311200000</v>
      </c>
      <c r="B1690" s="455" t="str">
        <f>VLOOKUP(LEFT($C$3:$C$2600,3),Table!$D$2:$E$88,2,FALSE)</f>
        <v>Other assets</v>
      </c>
      <c r="C1690" s="455" t="str">
        <f t="shared" si="53"/>
        <v>1311200000</v>
      </c>
      <c r="D1690" s="455" t="e">
        <f>VLOOKUP(G1690,Table!$G$3:$H$21,2,FALSE)</f>
        <v>#N/A</v>
      </c>
      <c r="E1690" s="452" t="s">
        <v>840</v>
      </c>
      <c r="F1690" s="452" t="s">
        <v>157</v>
      </c>
      <c r="G1690" s="452" t="s">
        <v>2011</v>
      </c>
      <c r="H1690" s="452" t="s">
        <v>151</v>
      </c>
      <c r="I1690" s="453" t="s">
        <v>842</v>
      </c>
      <c r="J1690" s="453">
        <v>-5289350.96</v>
      </c>
      <c r="K1690" s="461">
        <v>-5389350.96</v>
      </c>
      <c r="L1690" s="461">
        <v>-5489350.96</v>
      </c>
      <c r="M1690" s="461">
        <v>-5439462.96</v>
      </c>
      <c r="N1690" s="461">
        <v>-5439462.96</v>
      </c>
      <c r="O1690" s="461">
        <v>-5439462.96</v>
      </c>
      <c r="P1690" s="461">
        <v>-5439462.96</v>
      </c>
      <c r="Q1690" s="461">
        <v>-5439462.96</v>
      </c>
      <c r="R1690" s="461">
        <v>-5439462.96</v>
      </c>
      <c r="S1690" s="461">
        <v>-5439462.96</v>
      </c>
      <c r="T1690" s="461">
        <v>-5439462.96</v>
      </c>
      <c r="U1690" s="461">
        <v>-5439462.96</v>
      </c>
      <c r="V1690" s="461">
        <v>-5439462.96</v>
      </c>
    </row>
    <row r="1691" spans="1:22" s="455" customFormat="1" hidden="1">
      <c r="A1691" s="455" t="str">
        <f t="shared" si="52"/>
        <v>80001311301000</v>
      </c>
      <c r="B1691" s="455" t="str">
        <f>VLOOKUP(LEFT($C$3:$C$2600,3),Table!$D$2:$E$88,2,FALSE)</f>
        <v>Other assets</v>
      </c>
      <c r="C1691" s="455" t="str">
        <f t="shared" si="53"/>
        <v>1311301000</v>
      </c>
      <c r="D1691" s="455" t="e">
        <f>VLOOKUP(G1691,Table!$G$3:$H$21,2,FALSE)</f>
        <v>#N/A</v>
      </c>
      <c r="E1691" s="452" t="s">
        <v>840</v>
      </c>
      <c r="F1691" s="452" t="s">
        <v>157</v>
      </c>
      <c r="G1691" s="452" t="s">
        <v>2012</v>
      </c>
      <c r="H1691" s="452" t="s">
        <v>105</v>
      </c>
      <c r="I1691" s="453" t="s">
        <v>842</v>
      </c>
      <c r="J1691" s="453">
        <v>-482329</v>
      </c>
      <c r="K1691" s="461">
        <v>-482329</v>
      </c>
      <c r="L1691" s="461">
        <v>-482329</v>
      </c>
      <c r="M1691" s="461">
        <v>-482329</v>
      </c>
      <c r="N1691" s="461">
        <v>-482329</v>
      </c>
      <c r="O1691" s="461">
        <v>-482329</v>
      </c>
      <c r="P1691" s="461">
        <v>-482329</v>
      </c>
      <c r="Q1691" s="461">
        <v>-482329</v>
      </c>
      <c r="R1691" s="461">
        <v>-482329</v>
      </c>
      <c r="S1691" s="461">
        <v>-482329</v>
      </c>
      <c r="T1691" s="461">
        <v>-482329</v>
      </c>
      <c r="U1691" s="461">
        <v>-482329</v>
      </c>
      <c r="V1691" s="461">
        <v>-482329</v>
      </c>
    </row>
    <row r="1692" spans="1:22" s="455" customFormat="1" hidden="1">
      <c r="A1692" s="455" t="str">
        <f t="shared" si="52"/>
        <v>80001311301100</v>
      </c>
      <c r="B1692" s="455" t="str">
        <f>VLOOKUP(LEFT($C$3:$C$2600,3),Table!$D$2:$E$88,2,FALSE)</f>
        <v>Other assets</v>
      </c>
      <c r="C1692" s="455" t="str">
        <f t="shared" si="53"/>
        <v>1311301100</v>
      </c>
      <c r="D1692" s="455" t="e">
        <f>VLOOKUP(G1692,Table!$G$3:$H$21,2,FALSE)</f>
        <v>#N/A</v>
      </c>
      <c r="E1692" s="452" t="s">
        <v>840</v>
      </c>
      <c r="F1692" s="452" t="s">
        <v>157</v>
      </c>
      <c r="G1692" s="452" t="s">
        <v>2013</v>
      </c>
      <c r="H1692" s="452" t="s">
        <v>106</v>
      </c>
      <c r="I1692" s="453" t="s">
        <v>842</v>
      </c>
      <c r="J1692" s="453">
        <v>-128902.25</v>
      </c>
      <c r="K1692" s="461">
        <v>-125097.95</v>
      </c>
      <c r="L1692" s="461">
        <v>-128597.71</v>
      </c>
      <c r="M1692" s="461">
        <v>-129559.53</v>
      </c>
      <c r="N1692" s="461">
        <v>0</v>
      </c>
      <c r="O1692" s="461">
        <v>0</v>
      </c>
      <c r="P1692" s="461">
        <v>0</v>
      </c>
      <c r="Q1692" s="461">
        <v>0</v>
      </c>
      <c r="R1692" s="461">
        <v>0</v>
      </c>
      <c r="S1692" s="461">
        <v>0</v>
      </c>
      <c r="T1692" s="461">
        <v>0</v>
      </c>
      <c r="U1692" s="461">
        <v>0</v>
      </c>
      <c r="V1692" s="461">
        <v>0</v>
      </c>
    </row>
    <row r="1693" spans="1:22" s="455" customFormat="1" hidden="1">
      <c r="A1693" s="455" t="str">
        <f t="shared" si="52"/>
        <v>80001311301300</v>
      </c>
      <c r="B1693" s="455" t="str">
        <f>VLOOKUP(LEFT($C$3:$C$2600,3),Table!$D$2:$E$88,2,FALSE)</f>
        <v>Other assets</v>
      </c>
      <c r="C1693" s="455" t="str">
        <f t="shared" si="53"/>
        <v>1311301300</v>
      </c>
      <c r="D1693" s="455" t="e">
        <f>VLOOKUP(G1693,Table!$G$3:$H$21,2,FALSE)</f>
        <v>#N/A</v>
      </c>
      <c r="E1693" s="452" t="s">
        <v>840</v>
      </c>
      <c r="F1693" s="452" t="s">
        <v>157</v>
      </c>
      <c r="G1693" s="452" t="s">
        <v>2014</v>
      </c>
      <c r="H1693" s="452" t="s">
        <v>107</v>
      </c>
      <c r="I1693" s="453" t="s">
        <v>842</v>
      </c>
      <c r="J1693" s="453">
        <v>-181757</v>
      </c>
      <c r="K1693" s="461">
        <v>-185659.31</v>
      </c>
      <c r="L1693" s="461">
        <v>-192680.99</v>
      </c>
      <c r="M1693" s="461">
        <v>-196045.69</v>
      </c>
      <c r="N1693" s="461">
        <v>0</v>
      </c>
      <c r="O1693" s="461">
        <v>0</v>
      </c>
      <c r="P1693" s="461">
        <v>0</v>
      </c>
      <c r="Q1693" s="461">
        <v>0</v>
      </c>
      <c r="R1693" s="461">
        <v>0</v>
      </c>
      <c r="S1693" s="461">
        <v>0</v>
      </c>
      <c r="T1693" s="461">
        <v>0</v>
      </c>
      <c r="U1693" s="461">
        <v>0</v>
      </c>
      <c r="V1693" s="461">
        <v>0</v>
      </c>
    </row>
    <row r="1694" spans="1:22" s="455" customFormat="1" hidden="1">
      <c r="A1694" s="455" t="str">
        <f t="shared" si="52"/>
        <v>80001411001001</v>
      </c>
      <c r="B1694" s="455" t="str">
        <f>VLOOKUP(LEFT($C$3:$C$2600,3),Table!$D$2:$E$88,2,FALSE)</f>
        <v>Cash and Time deposit</v>
      </c>
      <c r="C1694" s="455" t="str">
        <f t="shared" si="53"/>
        <v>1411001001</v>
      </c>
      <c r="D1694" s="455" t="e">
        <f>VLOOKUP(G1694,Table!$G$3:$H$21,2,FALSE)</f>
        <v>#N/A</v>
      </c>
      <c r="E1694" s="452" t="s">
        <v>840</v>
      </c>
      <c r="F1694" s="452" t="s">
        <v>157</v>
      </c>
      <c r="G1694" s="452" t="s">
        <v>2015</v>
      </c>
      <c r="H1694" s="452" t="s">
        <v>7</v>
      </c>
      <c r="I1694" s="453" t="s">
        <v>842</v>
      </c>
      <c r="J1694" s="453">
        <v>6158.03</v>
      </c>
      <c r="K1694" s="461">
        <v>2553.06</v>
      </c>
      <c r="L1694" s="461">
        <v>3486.45</v>
      </c>
      <c r="M1694" s="461">
        <v>2534.7199999999998</v>
      </c>
      <c r="N1694" s="461">
        <v>2708.55</v>
      </c>
      <c r="O1694" s="461">
        <v>2708.55</v>
      </c>
      <c r="P1694" s="461">
        <v>2708.55</v>
      </c>
      <c r="Q1694" s="461">
        <v>2708.55</v>
      </c>
      <c r="R1694" s="461">
        <v>2708.55</v>
      </c>
      <c r="S1694" s="461">
        <v>2708.55</v>
      </c>
      <c r="T1694" s="461">
        <v>2708.55</v>
      </c>
      <c r="U1694" s="461">
        <v>2708.55</v>
      </c>
      <c r="V1694" s="461">
        <v>2708.55</v>
      </c>
    </row>
    <row r="1695" spans="1:22" s="455" customFormat="1" hidden="1">
      <c r="A1695" s="455" t="str">
        <f t="shared" si="52"/>
        <v>80001411001100</v>
      </c>
      <c r="B1695" s="455" t="str">
        <f>VLOOKUP(LEFT($C$3:$C$2600,3),Table!$D$2:$E$88,2,FALSE)</f>
        <v>Cash and Time deposit</v>
      </c>
      <c r="C1695" s="455" t="str">
        <f t="shared" si="53"/>
        <v>1411001100</v>
      </c>
      <c r="D1695" s="455" t="e">
        <f>VLOOKUP(G1695,Table!$G$3:$H$21,2,FALSE)</f>
        <v>#N/A</v>
      </c>
      <c r="E1695" s="452" t="s">
        <v>840</v>
      </c>
      <c r="F1695" s="452" t="s">
        <v>157</v>
      </c>
      <c r="G1695" s="452" t="s">
        <v>2016</v>
      </c>
      <c r="H1695" s="452" t="s">
        <v>8</v>
      </c>
      <c r="I1695" s="453" t="s">
        <v>842</v>
      </c>
      <c r="J1695" s="453">
        <v>3563.1</v>
      </c>
      <c r="K1695" s="461">
        <v>1383.1</v>
      </c>
      <c r="L1695" s="461">
        <v>3241.2</v>
      </c>
      <c r="M1695" s="461">
        <v>3041.2</v>
      </c>
      <c r="N1695" s="461">
        <v>3041.2</v>
      </c>
      <c r="O1695" s="461">
        <v>3041.2</v>
      </c>
      <c r="P1695" s="461">
        <v>3041.2</v>
      </c>
      <c r="Q1695" s="461">
        <v>3041.2</v>
      </c>
      <c r="R1695" s="461">
        <v>3041.2</v>
      </c>
      <c r="S1695" s="461">
        <v>3041.2</v>
      </c>
      <c r="T1695" s="461">
        <v>3041.2</v>
      </c>
      <c r="U1695" s="461">
        <v>3041.2</v>
      </c>
      <c r="V1695" s="461">
        <v>3041.2</v>
      </c>
    </row>
    <row r="1696" spans="1:22" s="455" customFormat="1" hidden="1">
      <c r="A1696" s="455" t="str">
        <f t="shared" si="52"/>
        <v>80001411101000</v>
      </c>
      <c r="B1696" s="455" t="str">
        <f>VLOOKUP(LEFT($C$3:$C$2600,3),Table!$D$2:$E$88,2,FALSE)</f>
        <v>Cash and Time deposit</v>
      </c>
      <c r="C1696" s="455" t="str">
        <f t="shared" si="53"/>
        <v>1411101000</v>
      </c>
      <c r="D1696" s="455" t="e">
        <f>VLOOKUP(G1696,Table!$G$3:$H$21,2,FALSE)</f>
        <v>#N/A</v>
      </c>
      <c r="E1696" s="452" t="s">
        <v>840</v>
      </c>
      <c r="F1696" s="452" t="s">
        <v>157</v>
      </c>
      <c r="G1696" s="452" t="s">
        <v>2017</v>
      </c>
      <c r="H1696" s="452" t="s">
        <v>9</v>
      </c>
      <c r="I1696" s="453" t="s">
        <v>842</v>
      </c>
      <c r="J1696" s="453">
        <v>22491046.809999999</v>
      </c>
      <c r="K1696" s="461">
        <v>20533055.48</v>
      </c>
      <c r="L1696" s="461">
        <v>18532214.890000001</v>
      </c>
      <c r="M1696" s="461">
        <v>16456110.859999999</v>
      </c>
      <c r="N1696" s="461">
        <v>16456110.859999999</v>
      </c>
      <c r="O1696" s="461">
        <v>16456110.859999999</v>
      </c>
      <c r="P1696" s="461">
        <v>16456110.859999999</v>
      </c>
      <c r="Q1696" s="461">
        <v>16456110.859999999</v>
      </c>
      <c r="R1696" s="461">
        <v>16456110.859999999</v>
      </c>
      <c r="S1696" s="461">
        <v>16456110.859999999</v>
      </c>
      <c r="T1696" s="461">
        <v>16456110.859999999</v>
      </c>
      <c r="U1696" s="461">
        <v>16456110.859999999</v>
      </c>
      <c r="V1696" s="461">
        <v>16456110.859999999</v>
      </c>
    </row>
    <row r="1697" spans="1:22" s="455" customFormat="1" hidden="1">
      <c r="A1697" s="455" t="str">
        <f t="shared" si="52"/>
        <v>80001421001010</v>
      </c>
      <c r="B1697" s="455" t="str">
        <f>VLOOKUP(LEFT($C$3:$C$2600,3),Table!$D$2:$E$88,2,FALSE)</f>
        <v>Accounts receivable - third parties</v>
      </c>
      <c r="C1697" s="455" t="str">
        <f t="shared" si="53"/>
        <v>1421001010</v>
      </c>
      <c r="D1697" s="455" t="e">
        <f>VLOOKUP(G1697,Table!$G$3:$H$21,2,FALSE)</f>
        <v>#N/A</v>
      </c>
      <c r="E1697" s="452" t="s">
        <v>840</v>
      </c>
      <c r="F1697" s="452" t="s">
        <v>157</v>
      </c>
      <c r="G1697" s="452" t="s">
        <v>2018</v>
      </c>
      <c r="H1697" s="452" t="s">
        <v>584</v>
      </c>
      <c r="I1697" s="453" t="s">
        <v>842</v>
      </c>
      <c r="J1697" s="453">
        <v>19420113.559999999</v>
      </c>
      <c r="K1697" s="461">
        <v>20691688.879999999</v>
      </c>
      <c r="L1697" s="461">
        <v>18867368.850000001</v>
      </c>
      <c r="M1697" s="461">
        <v>16551120.119999999</v>
      </c>
      <c r="N1697" s="461">
        <v>16156313.119999999</v>
      </c>
      <c r="O1697" s="461">
        <v>16156313.119999999</v>
      </c>
      <c r="P1697" s="461">
        <v>16156313.119999999</v>
      </c>
      <c r="Q1697" s="461">
        <v>16156313.119999999</v>
      </c>
      <c r="R1697" s="461">
        <v>16156313.119999999</v>
      </c>
      <c r="S1697" s="461">
        <v>16156313.119999999</v>
      </c>
      <c r="T1697" s="461">
        <v>16156313.119999999</v>
      </c>
      <c r="U1697" s="461">
        <v>16156313.119999999</v>
      </c>
      <c r="V1697" s="461">
        <v>16156313.119999999</v>
      </c>
    </row>
    <row r="1698" spans="1:22" s="455" customFormat="1" hidden="1">
      <c r="A1698" s="455" t="str">
        <f t="shared" si="52"/>
        <v>80001421100000</v>
      </c>
      <c r="B1698" s="455" t="str">
        <f>VLOOKUP(LEFT($C$3:$C$2600,3),Table!$D$2:$E$88,2,FALSE)</f>
        <v>Accounts receivable - ANSC</v>
      </c>
      <c r="C1698" s="455" t="str">
        <f t="shared" si="53"/>
        <v>001</v>
      </c>
      <c r="D1698" s="455" t="str">
        <f>VLOOKUP(G1698,Table!$G$3:$H$21,2,FALSE)</f>
        <v>001</v>
      </c>
      <c r="E1698" s="452" t="s">
        <v>840</v>
      </c>
      <c r="F1698" s="452" t="s">
        <v>157</v>
      </c>
      <c r="G1698" s="452" t="s">
        <v>2019</v>
      </c>
      <c r="H1698" s="452" t="s">
        <v>158</v>
      </c>
      <c r="I1698" s="453" t="s">
        <v>842</v>
      </c>
      <c r="J1698" s="453">
        <v>21335686.010000002</v>
      </c>
      <c r="K1698" s="461">
        <v>24609875.379999999</v>
      </c>
      <c r="L1698" s="461">
        <v>23652037.609999999</v>
      </c>
      <c r="M1698" s="461">
        <v>22942418.579999998</v>
      </c>
      <c r="N1698" s="461">
        <v>18547779.41</v>
      </c>
      <c r="O1698" s="461">
        <v>18547779.41</v>
      </c>
      <c r="P1698" s="461">
        <v>18547779.41</v>
      </c>
      <c r="Q1698" s="461">
        <v>18547779.41</v>
      </c>
      <c r="R1698" s="461">
        <v>18547779.41</v>
      </c>
      <c r="S1698" s="461">
        <v>18547779.41</v>
      </c>
      <c r="T1698" s="461">
        <v>18547779.41</v>
      </c>
      <c r="U1698" s="461">
        <v>18547779.41</v>
      </c>
      <c r="V1698" s="461">
        <v>18547779.41</v>
      </c>
    </row>
    <row r="1699" spans="1:22" s="455" customFormat="1" hidden="1">
      <c r="A1699" s="455" t="str">
        <f t="shared" si="52"/>
        <v>80001421201000</v>
      </c>
      <c r="B1699" s="455" t="str">
        <f>VLOOKUP(LEFT($C$3:$C$2600,3),Table!$D$2:$E$88,2,FALSE)</f>
        <v>Accounts receivable - third parties</v>
      </c>
      <c r="C1699" s="455" t="str">
        <f t="shared" si="53"/>
        <v>1421201000</v>
      </c>
      <c r="D1699" s="455" t="e">
        <f>VLOOKUP(G1699,Table!$G$3:$H$21,2,FALSE)</f>
        <v>#N/A</v>
      </c>
      <c r="E1699" s="452" t="s">
        <v>840</v>
      </c>
      <c r="F1699" s="452" t="s">
        <v>157</v>
      </c>
      <c r="G1699" s="452" t="s">
        <v>2020</v>
      </c>
      <c r="H1699" s="452" t="s">
        <v>168</v>
      </c>
      <c r="I1699" s="453" t="s">
        <v>842</v>
      </c>
      <c r="J1699" s="453">
        <v>3491.63</v>
      </c>
      <c r="K1699" s="461">
        <v>2837.36</v>
      </c>
      <c r="L1699" s="461">
        <v>9094.7000000000007</v>
      </c>
      <c r="M1699" s="461">
        <v>978.65</v>
      </c>
      <c r="N1699" s="461">
        <v>0</v>
      </c>
      <c r="O1699" s="461">
        <v>0</v>
      </c>
      <c r="P1699" s="461">
        <v>0</v>
      </c>
      <c r="Q1699" s="461">
        <v>0</v>
      </c>
      <c r="R1699" s="461">
        <v>0</v>
      </c>
      <c r="S1699" s="461">
        <v>0</v>
      </c>
      <c r="T1699" s="461">
        <v>0</v>
      </c>
      <c r="U1699" s="461">
        <v>0</v>
      </c>
      <c r="V1699" s="461">
        <v>0</v>
      </c>
    </row>
    <row r="1700" spans="1:22" s="455" customFormat="1" hidden="1">
      <c r="A1700" s="455" t="str">
        <f t="shared" si="52"/>
        <v>80001421202000</v>
      </c>
      <c r="B1700" s="455" t="str">
        <f>VLOOKUP(LEFT($C$3:$C$2600,3),Table!$D$2:$E$88,2,FALSE)</f>
        <v>Accounts receivable - third parties</v>
      </c>
      <c r="C1700" s="455" t="str">
        <f t="shared" si="53"/>
        <v>1421202000</v>
      </c>
      <c r="D1700" s="455" t="e">
        <f>VLOOKUP(G1700,Table!$G$3:$H$21,2,FALSE)</f>
        <v>#N/A</v>
      </c>
      <c r="E1700" s="452" t="s">
        <v>840</v>
      </c>
      <c r="F1700" s="452" t="s">
        <v>157</v>
      </c>
      <c r="G1700" s="452" t="s">
        <v>2021</v>
      </c>
      <c r="H1700" s="452" t="s">
        <v>171</v>
      </c>
      <c r="I1700" s="453" t="s">
        <v>842</v>
      </c>
      <c r="J1700" s="453">
        <v>-208427.85</v>
      </c>
      <c r="K1700" s="461">
        <v>-40629.97</v>
      </c>
      <c r="L1700" s="461">
        <v>-199606.71</v>
      </c>
      <c r="M1700" s="461">
        <v>-245734.04</v>
      </c>
      <c r="N1700" s="461">
        <v>-243935.71</v>
      </c>
      <c r="O1700" s="461">
        <v>-243935.71</v>
      </c>
      <c r="P1700" s="461">
        <v>-243935.71</v>
      </c>
      <c r="Q1700" s="461">
        <v>-243935.71</v>
      </c>
      <c r="R1700" s="461">
        <v>-243935.71</v>
      </c>
      <c r="S1700" s="461">
        <v>-243935.71</v>
      </c>
      <c r="T1700" s="461">
        <v>-243935.71</v>
      </c>
      <c r="U1700" s="461">
        <v>-243935.71</v>
      </c>
      <c r="V1700" s="461">
        <v>-243935.71</v>
      </c>
    </row>
    <row r="1701" spans="1:22" s="455" customFormat="1" hidden="1">
      <c r="A1701" s="455" t="str">
        <f t="shared" si="52"/>
        <v>80001421202400</v>
      </c>
      <c r="B1701" s="455" t="str">
        <f>VLOOKUP(LEFT($C$3:$C$2600,3),Table!$D$2:$E$88,2,FALSE)</f>
        <v>Accounts receivable - third parties</v>
      </c>
      <c r="C1701" s="455" t="str">
        <f t="shared" si="53"/>
        <v>1421202400</v>
      </c>
      <c r="D1701" s="455" t="e">
        <f>VLOOKUP(G1701,Table!$G$3:$H$21,2,FALSE)</f>
        <v>#N/A</v>
      </c>
      <c r="E1701" s="452" t="s">
        <v>840</v>
      </c>
      <c r="F1701" s="452" t="s">
        <v>157</v>
      </c>
      <c r="G1701" s="452" t="s">
        <v>2022</v>
      </c>
      <c r="H1701" s="452" t="s">
        <v>161</v>
      </c>
      <c r="I1701" s="453" t="s">
        <v>842</v>
      </c>
      <c r="J1701" s="453">
        <v>0</v>
      </c>
      <c r="K1701" s="461">
        <v>0</v>
      </c>
      <c r="L1701" s="461">
        <v>-100</v>
      </c>
      <c r="M1701" s="461">
        <v>0</v>
      </c>
      <c r="N1701" s="461">
        <v>0</v>
      </c>
      <c r="O1701" s="461">
        <v>0</v>
      </c>
      <c r="P1701" s="461">
        <v>0</v>
      </c>
      <c r="Q1701" s="461">
        <v>0</v>
      </c>
      <c r="R1701" s="461">
        <v>0</v>
      </c>
      <c r="S1701" s="461">
        <v>0</v>
      </c>
      <c r="T1701" s="461">
        <v>0</v>
      </c>
      <c r="U1701" s="461">
        <v>0</v>
      </c>
      <c r="V1701" s="461">
        <v>0</v>
      </c>
    </row>
    <row r="1702" spans="1:22" s="455" customFormat="1" hidden="1">
      <c r="A1702" s="455" t="str">
        <f t="shared" si="52"/>
        <v>80001421202900</v>
      </c>
      <c r="B1702" s="455" t="str">
        <f>VLOOKUP(LEFT($C$3:$C$2600,3),Table!$D$2:$E$88,2,FALSE)</f>
        <v>Accounts receivable - third parties</v>
      </c>
      <c r="C1702" s="455" t="str">
        <f t="shared" si="53"/>
        <v>1421202900</v>
      </c>
      <c r="D1702" s="455" t="e">
        <f>VLOOKUP(G1702,Table!$G$3:$H$21,2,FALSE)</f>
        <v>#N/A</v>
      </c>
      <c r="E1702" s="452" t="s">
        <v>840</v>
      </c>
      <c r="F1702" s="452" t="s">
        <v>157</v>
      </c>
      <c r="G1702" s="452" t="s">
        <v>2023</v>
      </c>
      <c r="H1702" s="452" t="s">
        <v>829</v>
      </c>
      <c r="I1702" s="453" t="s">
        <v>842</v>
      </c>
      <c r="J1702" s="453">
        <v>252035.96</v>
      </c>
      <c r="K1702" s="461">
        <v>252035.96</v>
      </c>
      <c r="L1702" s="461">
        <v>252035.96</v>
      </c>
      <c r="M1702" s="461">
        <v>252035.96</v>
      </c>
      <c r="N1702" s="461">
        <v>252035.96</v>
      </c>
      <c r="O1702" s="461">
        <v>252035.96</v>
      </c>
      <c r="P1702" s="461">
        <v>252035.96</v>
      </c>
      <c r="Q1702" s="461">
        <v>252035.96</v>
      </c>
      <c r="R1702" s="461">
        <v>252035.96</v>
      </c>
      <c r="S1702" s="461">
        <v>252035.96</v>
      </c>
      <c r="T1702" s="461">
        <v>252035.96</v>
      </c>
      <c r="U1702" s="461">
        <v>252035.96</v>
      </c>
      <c r="V1702" s="461">
        <v>252035.96</v>
      </c>
    </row>
    <row r="1703" spans="1:22" s="455" customFormat="1" hidden="1">
      <c r="A1703" s="455" t="str">
        <f t="shared" si="52"/>
        <v>80001421301000</v>
      </c>
      <c r="B1703" s="455" t="str">
        <f>VLOOKUP(LEFT($C$3:$C$2600,3),Table!$D$2:$E$88,2,FALSE)</f>
        <v>Accounts receivable - ANSC</v>
      </c>
      <c r="C1703" s="455" t="str">
        <f t="shared" si="53"/>
        <v>001</v>
      </c>
      <c r="D1703" s="455" t="str">
        <f>VLOOKUP(G1703,Table!$G$3:$H$21,2,FALSE)</f>
        <v>001</v>
      </c>
      <c r="E1703" s="452" t="s">
        <v>840</v>
      </c>
      <c r="F1703" s="452" t="s">
        <v>157</v>
      </c>
      <c r="G1703" s="452" t="s">
        <v>2024</v>
      </c>
      <c r="H1703" s="452" t="s">
        <v>154</v>
      </c>
      <c r="I1703" s="453" t="s">
        <v>842</v>
      </c>
      <c r="J1703" s="453">
        <v>403509.57</v>
      </c>
      <c r="K1703" s="461">
        <v>430763.43</v>
      </c>
      <c r="L1703" s="461">
        <v>336177.72</v>
      </c>
      <c r="M1703" s="461">
        <v>353370.63</v>
      </c>
      <c r="N1703" s="461">
        <v>353570.63</v>
      </c>
      <c r="O1703" s="461">
        <v>353570.63</v>
      </c>
      <c r="P1703" s="461">
        <v>353570.63</v>
      </c>
      <c r="Q1703" s="461">
        <v>353570.63</v>
      </c>
      <c r="R1703" s="461">
        <v>353570.63</v>
      </c>
      <c r="S1703" s="461">
        <v>353570.63</v>
      </c>
      <c r="T1703" s="461">
        <v>353570.63</v>
      </c>
      <c r="U1703" s="461">
        <v>353570.63</v>
      </c>
      <c r="V1703" s="461">
        <v>353570.63</v>
      </c>
    </row>
    <row r="1704" spans="1:22" s="455" customFormat="1" hidden="1">
      <c r="A1704" s="455" t="str">
        <f t="shared" si="52"/>
        <v>80001441000000</v>
      </c>
      <c r="B1704" s="455" t="str">
        <f>VLOOKUP(LEFT($C$3:$C$2600,3),Table!$D$2:$E$88,2,FALSE)</f>
        <v>Other assets</v>
      </c>
      <c r="C1704" s="455" t="str">
        <f t="shared" si="53"/>
        <v>1441000000</v>
      </c>
      <c r="D1704" s="455" t="e">
        <f>VLOOKUP(G1704,Table!$G$3:$H$21,2,FALSE)</f>
        <v>#N/A</v>
      </c>
      <c r="E1704" s="452" t="s">
        <v>840</v>
      </c>
      <c r="F1704" s="452" t="s">
        <v>157</v>
      </c>
      <c r="G1704" s="452" t="s">
        <v>2025</v>
      </c>
      <c r="H1704" s="452" t="s">
        <v>835</v>
      </c>
      <c r="I1704" s="453" t="s">
        <v>842</v>
      </c>
      <c r="J1704" s="453">
        <v>23920</v>
      </c>
      <c r="K1704" s="461">
        <v>28256</v>
      </c>
      <c r="L1704" s="461">
        <v>46394</v>
      </c>
      <c r="M1704" s="461">
        <v>20332</v>
      </c>
      <c r="N1704" s="461">
        <v>20332</v>
      </c>
      <c r="O1704" s="461">
        <v>20332</v>
      </c>
      <c r="P1704" s="461">
        <v>20332</v>
      </c>
      <c r="Q1704" s="461">
        <v>20332</v>
      </c>
      <c r="R1704" s="461">
        <v>20332</v>
      </c>
      <c r="S1704" s="461">
        <v>20332</v>
      </c>
      <c r="T1704" s="461">
        <v>20332</v>
      </c>
      <c r="U1704" s="461">
        <v>20332</v>
      </c>
      <c r="V1704" s="461">
        <v>20332</v>
      </c>
    </row>
    <row r="1705" spans="1:22" s="455" customFormat="1" hidden="1">
      <c r="A1705" s="455" t="str">
        <f t="shared" si="52"/>
        <v>80001441200000</v>
      </c>
      <c r="B1705" s="455" t="str">
        <f>VLOOKUP(LEFT($C$3:$C$2600,3),Table!$D$2:$E$88,2,FALSE)</f>
        <v>Other assets</v>
      </c>
      <c r="C1705" s="455" t="str">
        <f t="shared" si="53"/>
        <v>1441200000</v>
      </c>
      <c r="D1705" s="455" t="e">
        <f>VLOOKUP(G1705,Table!$G$3:$H$21,2,FALSE)</f>
        <v>#N/A</v>
      </c>
      <c r="E1705" s="452" t="s">
        <v>840</v>
      </c>
      <c r="F1705" s="452" t="s">
        <v>157</v>
      </c>
      <c r="G1705" s="452" t="s">
        <v>2026</v>
      </c>
      <c r="H1705" s="452" t="s">
        <v>640</v>
      </c>
      <c r="I1705" s="453" t="s">
        <v>842</v>
      </c>
      <c r="J1705" s="453">
        <v>32387</v>
      </c>
      <c r="K1705" s="461">
        <v>23292</v>
      </c>
      <c r="L1705" s="461">
        <v>15147</v>
      </c>
      <c r="M1705" s="461">
        <v>5748</v>
      </c>
      <c r="N1705" s="461">
        <v>5748</v>
      </c>
      <c r="O1705" s="461">
        <v>5748</v>
      </c>
      <c r="P1705" s="461">
        <v>5748</v>
      </c>
      <c r="Q1705" s="461">
        <v>5748</v>
      </c>
      <c r="R1705" s="461">
        <v>5748</v>
      </c>
      <c r="S1705" s="461">
        <v>5748</v>
      </c>
      <c r="T1705" s="461">
        <v>5748</v>
      </c>
      <c r="U1705" s="461">
        <v>5748</v>
      </c>
      <c r="V1705" s="461">
        <v>5748</v>
      </c>
    </row>
    <row r="1706" spans="1:22" s="455" customFormat="1" hidden="1">
      <c r="A1706" s="455" t="str">
        <f t="shared" si="52"/>
        <v>80001441600000</v>
      </c>
      <c r="B1706" s="455" t="str">
        <f>VLOOKUP(LEFT($C$3:$C$2600,3),Table!$D$2:$E$88,2,FALSE)</f>
        <v>Other assets</v>
      </c>
      <c r="C1706" s="455" t="str">
        <f t="shared" si="53"/>
        <v>1441600000</v>
      </c>
      <c r="D1706" s="455" t="e">
        <f>VLOOKUP(G1706,Table!$G$3:$H$21,2,FALSE)</f>
        <v>#N/A</v>
      </c>
      <c r="E1706" s="452" t="s">
        <v>840</v>
      </c>
      <c r="F1706" s="452" t="s">
        <v>157</v>
      </c>
      <c r="G1706" s="452" t="s">
        <v>2027</v>
      </c>
      <c r="H1706" s="452" t="s">
        <v>175</v>
      </c>
      <c r="I1706" s="453" t="s">
        <v>842</v>
      </c>
      <c r="J1706" s="453">
        <v>21039.77</v>
      </c>
      <c r="K1706" s="461">
        <v>19294</v>
      </c>
      <c r="L1706" s="461">
        <v>23585.360000000001</v>
      </c>
      <c r="M1706" s="461">
        <v>21311.599999999999</v>
      </c>
      <c r="N1706" s="461">
        <v>21311.599999999999</v>
      </c>
      <c r="O1706" s="461">
        <v>21311.599999999999</v>
      </c>
      <c r="P1706" s="461">
        <v>21311.599999999999</v>
      </c>
      <c r="Q1706" s="461">
        <v>21311.599999999999</v>
      </c>
      <c r="R1706" s="461">
        <v>21311.599999999999</v>
      </c>
      <c r="S1706" s="461">
        <v>21311.599999999999</v>
      </c>
      <c r="T1706" s="461">
        <v>21311.599999999999</v>
      </c>
      <c r="U1706" s="461">
        <v>21311.599999999999</v>
      </c>
      <c r="V1706" s="461">
        <v>21311.599999999999</v>
      </c>
    </row>
    <row r="1707" spans="1:22" s="455" customFormat="1" hidden="1">
      <c r="A1707" s="455" t="str">
        <f t="shared" si="52"/>
        <v>80001441700000</v>
      </c>
      <c r="B1707" s="455" t="str">
        <f>VLOOKUP(LEFT($C$3:$C$2600,3),Table!$D$2:$E$88,2,FALSE)</f>
        <v>Other assets</v>
      </c>
      <c r="C1707" s="455" t="str">
        <f t="shared" si="53"/>
        <v>1441700000</v>
      </c>
      <c r="D1707" s="455" t="e">
        <f>VLOOKUP(G1707,Table!$G$3:$H$21,2,FALSE)</f>
        <v>#N/A</v>
      </c>
      <c r="E1707" s="452" t="s">
        <v>840</v>
      </c>
      <c r="F1707" s="452" t="s">
        <v>157</v>
      </c>
      <c r="G1707" s="452" t="s">
        <v>2028</v>
      </c>
      <c r="H1707" s="452" t="s">
        <v>176</v>
      </c>
      <c r="I1707" s="453" t="s">
        <v>842</v>
      </c>
      <c r="J1707" s="453">
        <v>3398</v>
      </c>
      <c r="K1707" s="461">
        <v>458832</v>
      </c>
      <c r="L1707" s="461">
        <v>417120</v>
      </c>
      <c r="M1707" s="461">
        <v>375408</v>
      </c>
      <c r="N1707" s="461">
        <v>375408</v>
      </c>
      <c r="O1707" s="461">
        <v>375408</v>
      </c>
      <c r="P1707" s="461">
        <v>375408</v>
      </c>
      <c r="Q1707" s="461">
        <v>375408</v>
      </c>
      <c r="R1707" s="461">
        <v>375408</v>
      </c>
      <c r="S1707" s="461">
        <v>375408</v>
      </c>
      <c r="T1707" s="461">
        <v>375408</v>
      </c>
      <c r="U1707" s="461">
        <v>375408</v>
      </c>
      <c r="V1707" s="461">
        <v>375408</v>
      </c>
    </row>
    <row r="1708" spans="1:22" s="455" customFormat="1" hidden="1">
      <c r="A1708" s="455" t="str">
        <f t="shared" si="52"/>
        <v>80001460000000</v>
      </c>
      <c r="B1708" s="455" t="str">
        <f>VLOOKUP(LEFT($C$3:$C$2600,3),Table!$D$2:$E$88,2,FALSE)</f>
        <v>Accounts payable</v>
      </c>
      <c r="C1708" s="455" t="str">
        <f t="shared" si="53"/>
        <v>1460000000</v>
      </c>
      <c r="D1708" s="455" t="e">
        <f>VLOOKUP(G1708,Table!$G$3:$H$21,2,FALSE)</f>
        <v>#N/A</v>
      </c>
      <c r="E1708" s="452" t="s">
        <v>840</v>
      </c>
      <c r="F1708" s="452" t="s">
        <v>157</v>
      </c>
      <c r="G1708" s="452" t="s">
        <v>2029</v>
      </c>
      <c r="H1708" s="452" t="s">
        <v>2030</v>
      </c>
      <c r="I1708" s="453" t="s">
        <v>842</v>
      </c>
      <c r="J1708" s="453">
        <v>65680</v>
      </c>
      <c r="K1708" s="461">
        <v>215373</v>
      </c>
      <c r="L1708" s="461">
        <v>4086</v>
      </c>
      <c r="M1708" s="461">
        <v>-62828</v>
      </c>
      <c r="N1708" s="461">
        <v>0</v>
      </c>
      <c r="O1708" s="461">
        <v>0</v>
      </c>
      <c r="P1708" s="461">
        <v>0</v>
      </c>
      <c r="Q1708" s="461">
        <v>0</v>
      </c>
      <c r="R1708" s="461">
        <v>0</v>
      </c>
      <c r="S1708" s="461">
        <v>0</v>
      </c>
      <c r="T1708" s="461">
        <v>0</v>
      </c>
      <c r="U1708" s="461">
        <v>0</v>
      </c>
      <c r="V1708" s="461">
        <v>0</v>
      </c>
    </row>
    <row r="1709" spans="1:22" s="455" customFormat="1" hidden="1">
      <c r="A1709" s="455" t="str">
        <f t="shared" si="52"/>
        <v>80002001000000</v>
      </c>
      <c r="B1709" s="455" t="str">
        <f>VLOOKUP(LEFT($C$3:$C$2600,3),Table!$D$2:$E$88,2,FALSE)</f>
        <v>Accounts payable</v>
      </c>
      <c r="C1709" s="455" t="str">
        <f t="shared" si="53"/>
        <v>2001000000</v>
      </c>
      <c r="D1709" s="455" t="e">
        <f>VLOOKUP(G1709,Table!$G$3:$H$21,2,FALSE)</f>
        <v>#N/A</v>
      </c>
      <c r="E1709" s="452" t="s">
        <v>840</v>
      </c>
      <c r="F1709" s="452" t="s">
        <v>157</v>
      </c>
      <c r="G1709" s="452" t="s">
        <v>2031</v>
      </c>
      <c r="H1709" s="452" t="s">
        <v>2032</v>
      </c>
      <c r="I1709" s="453" t="s">
        <v>842</v>
      </c>
      <c r="J1709" s="453">
        <v>-14604.61</v>
      </c>
      <c r="K1709" s="461">
        <v>-0.02</v>
      </c>
      <c r="L1709" s="461">
        <v>-6470.26</v>
      </c>
      <c r="M1709" s="461">
        <v>-10652.18</v>
      </c>
      <c r="N1709" s="461">
        <v>-10576.79</v>
      </c>
      <c r="O1709" s="461">
        <v>-10576.79</v>
      </c>
      <c r="P1709" s="461">
        <v>-10576.79</v>
      </c>
      <c r="Q1709" s="461">
        <v>-10576.79</v>
      </c>
      <c r="R1709" s="461">
        <v>-10576.79</v>
      </c>
      <c r="S1709" s="461">
        <v>-10576.79</v>
      </c>
      <c r="T1709" s="461">
        <v>-10576.79</v>
      </c>
      <c r="U1709" s="461">
        <v>-10576.79</v>
      </c>
      <c r="V1709" s="461">
        <v>-10576.79</v>
      </c>
    </row>
    <row r="1710" spans="1:22" s="455" customFormat="1" hidden="1">
      <c r="A1710" s="455" t="str">
        <f t="shared" si="52"/>
        <v>80002001000001</v>
      </c>
      <c r="B1710" s="455" t="str">
        <f>VLOOKUP(LEFT($C$3:$C$2600,3),Table!$D$2:$E$88,2,FALSE)</f>
        <v>Accounts payable</v>
      </c>
      <c r="C1710" s="455" t="str">
        <f t="shared" si="53"/>
        <v>2001000001</v>
      </c>
      <c r="D1710" s="455" t="e">
        <f>VLOOKUP(G1710,Table!$G$3:$H$21,2,FALSE)</f>
        <v>#N/A</v>
      </c>
      <c r="E1710" s="452" t="s">
        <v>840</v>
      </c>
      <c r="F1710" s="452" t="s">
        <v>157</v>
      </c>
      <c r="G1710" s="452" t="s">
        <v>2033</v>
      </c>
      <c r="H1710" s="452" t="s">
        <v>100</v>
      </c>
      <c r="I1710" s="453" t="s">
        <v>842</v>
      </c>
      <c r="J1710" s="453">
        <v>-4746390.49</v>
      </c>
      <c r="K1710" s="461">
        <v>-5992008.6500000004</v>
      </c>
      <c r="L1710" s="461">
        <v>-2579621.2000000002</v>
      </c>
      <c r="M1710" s="461">
        <v>-1893355.4</v>
      </c>
      <c r="N1710" s="461">
        <v>5004331.8600000003</v>
      </c>
      <c r="O1710" s="461">
        <v>5004331.8600000003</v>
      </c>
      <c r="P1710" s="461">
        <v>5004331.8600000003</v>
      </c>
      <c r="Q1710" s="461">
        <v>5004331.8600000003</v>
      </c>
      <c r="R1710" s="461">
        <v>5004331.8600000003</v>
      </c>
      <c r="S1710" s="461">
        <v>5004331.8600000003</v>
      </c>
      <c r="T1710" s="461">
        <v>5004331.8600000003</v>
      </c>
      <c r="U1710" s="461">
        <v>5004331.8600000003</v>
      </c>
      <c r="V1710" s="461">
        <v>5004331.8600000003</v>
      </c>
    </row>
    <row r="1711" spans="1:22" s="455" customFormat="1" hidden="1">
      <c r="A1711" s="455" t="str">
        <f t="shared" si="52"/>
        <v>80002001000002</v>
      </c>
      <c r="B1711" s="455" t="str">
        <f>VLOOKUP(LEFT($C$3:$C$2600,3),Table!$D$2:$E$88,2,FALSE)</f>
        <v>Accounts payable</v>
      </c>
      <c r="C1711" s="455" t="str">
        <f t="shared" si="53"/>
        <v>2001000002</v>
      </c>
      <c r="D1711" s="455" t="e">
        <f>VLOOKUP(G1711,Table!$G$3:$H$21,2,FALSE)</f>
        <v>#N/A</v>
      </c>
      <c r="E1711" s="452" t="s">
        <v>840</v>
      </c>
      <c r="F1711" s="452" t="s">
        <v>157</v>
      </c>
      <c r="G1711" s="452" t="s">
        <v>2034</v>
      </c>
      <c r="H1711" s="452" t="s">
        <v>101</v>
      </c>
      <c r="I1711" s="453" t="s">
        <v>842</v>
      </c>
      <c r="J1711" s="453">
        <v>-997717.01</v>
      </c>
      <c r="K1711" s="461">
        <v>-1552060.94</v>
      </c>
      <c r="L1711" s="461">
        <v>-382513.57</v>
      </c>
      <c r="M1711" s="461">
        <v>-1001618.57</v>
      </c>
      <c r="N1711" s="461">
        <v>-1156386.2</v>
      </c>
      <c r="O1711" s="461">
        <v>-1156386.2</v>
      </c>
      <c r="P1711" s="461">
        <v>-1156386.2</v>
      </c>
      <c r="Q1711" s="461">
        <v>-1156386.2</v>
      </c>
      <c r="R1711" s="461">
        <v>-1156386.2</v>
      </c>
      <c r="S1711" s="461">
        <v>-1156386.2</v>
      </c>
      <c r="T1711" s="461">
        <v>-1156386.2</v>
      </c>
      <c r="U1711" s="461">
        <v>-1156386.2</v>
      </c>
      <c r="V1711" s="461">
        <v>-1156386.2</v>
      </c>
    </row>
    <row r="1712" spans="1:22" s="455" customFormat="1" hidden="1">
      <c r="A1712" s="455" t="str">
        <f t="shared" si="52"/>
        <v>80002001000003</v>
      </c>
      <c r="B1712" s="455" t="str">
        <f>VLOOKUP(LEFT($C$3:$C$2600,3),Table!$D$2:$E$88,2,FALSE)</f>
        <v>Accounts receivable - ANSC</v>
      </c>
      <c r="C1712" s="455" t="str">
        <f t="shared" si="53"/>
        <v>001</v>
      </c>
      <c r="D1712" s="455" t="str">
        <f>VLOOKUP(G1712,Table!$G$3:$H$21,2,FALSE)</f>
        <v>001</v>
      </c>
      <c r="E1712" s="452" t="s">
        <v>840</v>
      </c>
      <c r="F1712" s="452" t="s">
        <v>157</v>
      </c>
      <c r="G1712" s="452" t="s">
        <v>2035</v>
      </c>
      <c r="H1712" s="452" t="s">
        <v>122</v>
      </c>
      <c r="I1712" s="453" t="s">
        <v>842</v>
      </c>
      <c r="J1712" s="453">
        <v>-1199634.0900000001</v>
      </c>
      <c r="K1712" s="461">
        <v>-1047286.3</v>
      </c>
      <c r="L1712" s="461">
        <v>-1304233.8</v>
      </c>
      <c r="M1712" s="461">
        <v>-1161711.3799999999</v>
      </c>
      <c r="N1712" s="461">
        <v>0</v>
      </c>
      <c r="O1712" s="461">
        <v>0</v>
      </c>
      <c r="P1712" s="461">
        <v>0</v>
      </c>
      <c r="Q1712" s="461">
        <v>0</v>
      </c>
      <c r="R1712" s="461">
        <v>0</v>
      </c>
      <c r="S1712" s="461">
        <v>0</v>
      </c>
      <c r="T1712" s="461">
        <v>0</v>
      </c>
      <c r="U1712" s="461">
        <v>0</v>
      </c>
      <c r="V1712" s="461">
        <v>0</v>
      </c>
    </row>
    <row r="1713" spans="1:22" s="455" customFormat="1" hidden="1">
      <c r="A1713" s="455" t="str">
        <f t="shared" si="52"/>
        <v>80002001800000</v>
      </c>
      <c r="B1713" s="455" t="str">
        <f>VLOOKUP(LEFT($C$3:$C$2600,3),Table!$D$2:$E$88,2,FALSE)</f>
        <v>Accounts payable</v>
      </c>
      <c r="C1713" s="455" t="str">
        <f t="shared" si="53"/>
        <v>2001800000</v>
      </c>
      <c r="D1713" s="455" t="e">
        <f>VLOOKUP(G1713,Table!$G$3:$H$21,2,FALSE)</f>
        <v>#N/A</v>
      </c>
      <c r="E1713" s="452" t="s">
        <v>840</v>
      </c>
      <c r="F1713" s="452" t="s">
        <v>157</v>
      </c>
      <c r="G1713" s="452" t="s">
        <v>2593</v>
      </c>
      <c r="H1713" s="452" t="s">
        <v>638</v>
      </c>
      <c r="I1713" s="453" t="s">
        <v>842</v>
      </c>
      <c r="J1713" s="453">
        <v>0</v>
      </c>
      <c r="K1713" s="461">
        <v>-195479.18</v>
      </c>
      <c r="L1713" s="461">
        <v>0</v>
      </c>
      <c r="M1713" s="461">
        <v>0</v>
      </c>
      <c r="N1713" s="461">
        <v>0</v>
      </c>
      <c r="O1713" s="461">
        <v>0</v>
      </c>
      <c r="P1713" s="461">
        <v>0</v>
      </c>
      <c r="Q1713" s="461">
        <v>0</v>
      </c>
      <c r="R1713" s="461">
        <v>0</v>
      </c>
      <c r="S1713" s="461">
        <v>0</v>
      </c>
      <c r="T1713" s="461">
        <v>0</v>
      </c>
      <c r="U1713" s="461">
        <v>0</v>
      </c>
      <c r="V1713" s="461">
        <v>0</v>
      </c>
    </row>
    <row r="1714" spans="1:22" s="455" customFormat="1" hidden="1">
      <c r="A1714" s="455" t="str">
        <f t="shared" si="52"/>
        <v>80002001900000</v>
      </c>
      <c r="B1714" s="455" t="str">
        <f>VLOOKUP(LEFT($C$3:$C$2600,3),Table!$D$2:$E$88,2,FALSE)</f>
        <v>Other assets</v>
      </c>
      <c r="C1714" s="455">
        <f t="shared" si="53"/>
        <v>207</v>
      </c>
      <c r="D1714" s="455">
        <f>VLOOKUP(G1714,Table!$G$3:$H$21,2,FALSE)</f>
        <v>207</v>
      </c>
      <c r="E1714" s="452" t="s">
        <v>840</v>
      </c>
      <c r="F1714" s="452" t="s">
        <v>157</v>
      </c>
      <c r="G1714" s="452" t="s">
        <v>2036</v>
      </c>
      <c r="H1714" s="452" t="s">
        <v>108</v>
      </c>
      <c r="I1714" s="453" t="s">
        <v>842</v>
      </c>
      <c r="J1714" s="453">
        <v>0</v>
      </c>
      <c r="K1714" s="461">
        <v>8229.64</v>
      </c>
      <c r="L1714" s="461">
        <v>4690.25</v>
      </c>
      <c r="M1714" s="461">
        <v>8980.35</v>
      </c>
      <c r="N1714" s="461">
        <v>146886.84</v>
      </c>
      <c r="O1714" s="461">
        <v>146886.84</v>
      </c>
      <c r="P1714" s="461">
        <v>146886.84</v>
      </c>
      <c r="Q1714" s="461">
        <v>146886.84</v>
      </c>
      <c r="R1714" s="461">
        <v>146886.84</v>
      </c>
      <c r="S1714" s="461">
        <v>146886.84</v>
      </c>
      <c r="T1714" s="461">
        <v>146886.84</v>
      </c>
      <c r="U1714" s="461">
        <v>146886.84</v>
      </c>
      <c r="V1714" s="461">
        <v>146886.84</v>
      </c>
    </row>
    <row r="1715" spans="1:22" s="455" customFormat="1" hidden="1">
      <c r="A1715" s="455" t="str">
        <f t="shared" si="52"/>
        <v>80002002001000</v>
      </c>
      <c r="B1715" s="455" t="str">
        <f>VLOOKUP(LEFT($C$3:$C$2600,3),Table!$D$2:$E$88,2,FALSE)</f>
        <v>Accounts payable</v>
      </c>
      <c r="C1715" s="455" t="str">
        <f t="shared" si="53"/>
        <v>2002001000</v>
      </c>
      <c r="D1715" s="455" t="e">
        <f>VLOOKUP(G1715,Table!$G$3:$H$21,2,FALSE)</f>
        <v>#N/A</v>
      </c>
      <c r="E1715" s="452" t="s">
        <v>840</v>
      </c>
      <c r="F1715" s="452" t="s">
        <v>157</v>
      </c>
      <c r="G1715" s="452" t="s">
        <v>2037</v>
      </c>
      <c r="H1715" s="452" t="s">
        <v>567</v>
      </c>
      <c r="I1715" s="453" t="s">
        <v>842</v>
      </c>
      <c r="J1715" s="453">
        <v>233.63</v>
      </c>
      <c r="K1715" s="461">
        <v>-5.01</v>
      </c>
      <c r="L1715" s="461">
        <v>-404.84</v>
      </c>
      <c r="M1715" s="461">
        <v>-2056.65</v>
      </c>
      <c r="N1715" s="461">
        <v>-2056.65</v>
      </c>
      <c r="O1715" s="461">
        <v>-2056.65</v>
      </c>
      <c r="P1715" s="461">
        <v>-2056.65</v>
      </c>
      <c r="Q1715" s="461">
        <v>-2056.65</v>
      </c>
      <c r="R1715" s="461">
        <v>-2056.65</v>
      </c>
      <c r="S1715" s="461">
        <v>-2056.65</v>
      </c>
      <c r="T1715" s="461">
        <v>-2056.65</v>
      </c>
      <c r="U1715" s="461">
        <v>-2056.65</v>
      </c>
      <c r="V1715" s="461">
        <v>-2056.65</v>
      </c>
    </row>
    <row r="1716" spans="1:22" s="455" customFormat="1" hidden="1">
      <c r="A1716" s="455" t="str">
        <f t="shared" si="52"/>
        <v>80002002001010</v>
      </c>
      <c r="B1716" s="455" t="str">
        <f>VLOOKUP(LEFT($C$3:$C$2600,3),Table!$D$2:$E$88,2,FALSE)</f>
        <v>Accounts payable</v>
      </c>
      <c r="C1716" s="455" t="str">
        <f t="shared" si="53"/>
        <v>2002001010</v>
      </c>
      <c r="D1716" s="455" t="e">
        <f>VLOOKUP(G1716,Table!$G$3:$H$21,2,FALSE)</f>
        <v>#N/A</v>
      </c>
      <c r="E1716" s="452" t="s">
        <v>840</v>
      </c>
      <c r="F1716" s="452" t="s">
        <v>157</v>
      </c>
      <c r="G1716" s="452" t="s">
        <v>2038</v>
      </c>
      <c r="H1716" s="452" t="s">
        <v>109</v>
      </c>
      <c r="I1716" s="453" t="s">
        <v>842</v>
      </c>
      <c r="J1716" s="453">
        <v>23619</v>
      </c>
      <c r="K1716" s="461">
        <v>1332</v>
      </c>
      <c r="L1716" s="461">
        <v>0</v>
      </c>
      <c r="M1716" s="461">
        <v>0</v>
      </c>
      <c r="N1716" s="461">
        <v>0</v>
      </c>
      <c r="O1716" s="461">
        <v>0</v>
      </c>
      <c r="P1716" s="461">
        <v>0</v>
      </c>
      <c r="Q1716" s="461">
        <v>0</v>
      </c>
      <c r="R1716" s="461">
        <v>0</v>
      </c>
      <c r="S1716" s="461">
        <v>0</v>
      </c>
      <c r="T1716" s="461">
        <v>0</v>
      </c>
      <c r="U1716" s="461">
        <v>0</v>
      </c>
      <c r="V1716" s="461">
        <v>0</v>
      </c>
    </row>
    <row r="1717" spans="1:22" s="455" customFormat="1" hidden="1">
      <c r="A1717" s="455" t="str">
        <f t="shared" si="52"/>
        <v>80002002001011</v>
      </c>
      <c r="B1717" s="455" t="str">
        <f>VLOOKUP(LEFT($C$3:$C$2600,3),Table!$D$2:$E$88,2,FALSE)</f>
        <v>Accounts payable</v>
      </c>
      <c r="C1717" s="455" t="str">
        <f t="shared" si="53"/>
        <v>2002001011</v>
      </c>
      <c r="D1717" s="455" t="e">
        <f>VLOOKUP(G1717,Table!$G$3:$H$21,2,FALSE)</f>
        <v>#N/A</v>
      </c>
      <c r="E1717" s="452" t="s">
        <v>840</v>
      </c>
      <c r="F1717" s="452" t="s">
        <v>157</v>
      </c>
      <c r="G1717" s="452" t="s">
        <v>2039</v>
      </c>
      <c r="H1717" s="452" t="s">
        <v>110</v>
      </c>
      <c r="I1717" s="453" t="s">
        <v>842</v>
      </c>
      <c r="J1717" s="453">
        <v>-58982.39</v>
      </c>
      <c r="K1717" s="461">
        <v>-56757.59</v>
      </c>
      <c r="L1717" s="461">
        <v>-58374.12</v>
      </c>
      <c r="M1717" s="461">
        <v>-43575.12</v>
      </c>
      <c r="N1717" s="461">
        <v>0</v>
      </c>
      <c r="O1717" s="461">
        <v>0</v>
      </c>
      <c r="P1717" s="461">
        <v>0</v>
      </c>
      <c r="Q1717" s="461">
        <v>0</v>
      </c>
      <c r="R1717" s="461">
        <v>0</v>
      </c>
      <c r="S1717" s="461">
        <v>0</v>
      </c>
      <c r="T1717" s="461">
        <v>0</v>
      </c>
      <c r="U1717" s="461">
        <v>0</v>
      </c>
      <c r="V1717" s="461">
        <v>0</v>
      </c>
    </row>
    <row r="1718" spans="1:22" s="455" customFormat="1" hidden="1">
      <c r="A1718" s="455" t="str">
        <f t="shared" si="52"/>
        <v>80002002001100</v>
      </c>
      <c r="B1718" s="455" t="str">
        <f>VLOOKUP(LEFT($C$3:$C$2600,3),Table!$D$2:$E$88,2,FALSE)</f>
        <v>Accounts payable</v>
      </c>
      <c r="C1718" s="455" t="str">
        <f t="shared" si="53"/>
        <v>2002001100</v>
      </c>
      <c r="D1718" s="455" t="e">
        <f>VLOOKUP(G1718,Table!$G$3:$H$21,2,FALSE)</f>
        <v>#N/A</v>
      </c>
      <c r="E1718" s="452" t="s">
        <v>840</v>
      </c>
      <c r="F1718" s="452" t="s">
        <v>157</v>
      </c>
      <c r="G1718" s="452" t="s">
        <v>2040</v>
      </c>
      <c r="H1718" s="452" t="s">
        <v>586</v>
      </c>
      <c r="I1718" s="453" t="s">
        <v>842</v>
      </c>
      <c r="J1718" s="453">
        <v>0</v>
      </c>
      <c r="K1718" s="461">
        <v>0</v>
      </c>
      <c r="L1718" s="461">
        <v>0</v>
      </c>
      <c r="M1718" s="461">
        <v>-622.07000000000005</v>
      </c>
      <c r="N1718" s="461">
        <v>-622.07000000000005</v>
      </c>
      <c r="O1718" s="461">
        <v>-622.07000000000005</v>
      </c>
      <c r="P1718" s="461">
        <v>-622.07000000000005</v>
      </c>
      <c r="Q1718" s="461">
        <v>-622.07000000000005</v>
      </c>
      <c r="R1718" s="461">
        <v>-622.07000000000005</v>
      </c>
      <c r="S1718" s="461">
        <v>-622.07000000000005</v>
      </c>
      <c r="T1718" s="461">
        <v>-622.07000000000005</v>
      </c>
      <c r="U1718" s="461">
        <v>-622.07000000000005</v>
      </c>
      <c r="V1718" s="461">
        <v>-622.07000000000005</v>
      </c>
    </row>
    <row r="1719" spans="1:22" s="455" customFormat="1" hidden="1">
      <c r="A1719" s="455" t="str">
        <f t="shared" si="52"/>
        <v>80002002001110</v>
      </c>
      <c r="B1719" s="455" t="str">
        <f>VLOOKUP(LEFT($C$3:$C$2600,3),Table!$D$2:$E$88,2,FALSE)</f>
        <v>Accounts payable</v>
      </c>
      <c r="C1719" s="455" t="str">
        <f t="shared" si="53"/>
        <v>2002001110</v>
      </c>
      <c r="D1719" s="455" t="e">
        <f>VLOOKUP(G1719,Table!$G$3:$H$21,2,FALSE)</f>
        <v>#N/A</v>
      </c>
      <c r="E1719" s="452" t="s">
        <v>840</v>
      </c>
      <c r="F1719" s="452" t="s">
        <v>157</v>
      </c>
      <c r="G1719" s="452" t="s">
        <v>2041</v>
      </c>
      <c r="H1719" s="452" t="s">
        <v>111</v>
      </c>
      <c r="I1719" s="453" t="s">
        <v>842</v>
      </c>
      <c r="J1719" s="453">
        <v>13520</v>
      </c>
      <c r="K1719" s="461">
        <v>168</v>
      </c>
      <c r="L1719" s="461">
        <v>85</v>
      </c>
      <c r="M1719" s="461">
        <v>0</v>
      </c>
      <c r="N1719" s="461">
        <v>0</v>
      </c>
      <c r="O1719" s="461">
        <v>0</v>
      </c>
      <c r="P1719" s="461">
        <v>0</v>
      </c>
      <c r="Q1719" s="461">
        <v>0</v>
      </c>
      <c r="R1719" s="461">
        <v>0</v>
      </c>
      <c r="S1719" s="461">
        <v>0</v>
      </c>
      <c r="T1719" s="461">
        <v>0</v>
      </c>
      <c r="U1719" s="461">
        <v>0</v>
      </c>
      <c r="V1719" s="461">
        <v>0</v>
      </c>
    </row>
    <row r="1720" spans="1:22" s="455" customFormat="1" hidden="1">
      <c r="A1720" s="455" t="str">
        <f t="shared" si="52"/>
        <v>80002002001111</v>
      </c>
      <c r="B1720" s="455" t="str">
        <f>VLOOKUP(LEFT($C$3:$C$2600,3),Table!$D$2:$E$88,2,FALSE)</f>
        <v>Accounts payable</v>
      </c>
      <c r="C1720" s="455" t="str">
        <f t="shared" si="53"/>
        <v>2002001111</v>
      </c>
      <c r="D1720" s="455" t="e">
        <f>VLOOKUP(G1720,Table!$G$3:$H$21,2,FALSE)</f>
        <v>#N/A</v>
      </c>
      <c r="E1720" s="452" t="s">
        <v>840</v>
      </c>
      <c r="F1720" s="452" t="s">
        <v>157</v>
      </c>
      <c r="G1720" s="452" t="s">
        <v>2042</v>
      </c>
      <c r="H1720" s="452" t="s">
        <v>112</v>
      </c>
      <c r="I1720" s="453" t="s">
        <v>842</v>
      </c>
      <c r="J1720" s="453">
        <v>-11752.78</v>
      </c>
      <c r="K1720" s="461">
        <v>-11884.71</v>
      </c>
      <c r="L1720" s="461">
        <v>-11605.64</v>
      </c>
      <c r="M1720" s="461">
        <v>-8762.7199999999993</v>
      </c>
      <c r="N1720" s="461">
        <v>0</v>
      </c>
      <c r="O1720" s="461">
        <v>0</v>
      </c>
      <c r="P1720" s="461">
        <v>0</v>
      </c>
      <c r="Q1720" s="461">
        <v>0</v>
      </c>
      <c r="R1720" s="461">
        <v>0</v>
      </c>
      <c r="S1720" s="461">
        <v>0</v>
      </c>
      <c r="T1720" s="461">
        <v>0</v>
      </c>
      <c r="U1720" s="461">
        <v>0</v>
      </c>
      <c r="V1720" s="461">
        <v>0</v>
      </c>
    </row>
    <row r="1721" spans="1:22" s="455" customFormat="1" hidden="1">
      <c r="A1721" s="455" t="str">
        <f t="shared" si="52"/>
        <v>80002002001200</v>
      </c>
      <c r="B1721" s="455" t="str">
        <f>VLOOKUP(LEFT($C$3:$C$2600,3),Table!$D$2:$E$88,2,FALSE)</f>
        <v>Accounts payable</v>
      </c>
      <c r="C1721" s="455" t="str">
        <f t="shared" si="53"/>
        <v>2002001200</v>
      </c>
      <c r="D1721" s="455" t="e">
        <f>VLOOKUP(G1721,Table!$G$3:$H$21,2,FALSE)</f>
        <v>#N/A</v>
      </c>
      <c r="E1721" s="452" t="s">
        <v>840</v>
      </c>
      <c r="F1721" s="452" t="s">
        <v>157</v>
      </c>
      <c r="G1721" s="452" t="s">
        <v>2043</v>
      </c>
      <c r="H1721" s="452" t="s">
        <v>568</v>
      </c>
      <c r="I1721" s="453" t="s">
        <v>842</v>
      </c>
      <c r="J1721" s="453">
        <v>-700000</v>
      </c>
      <c r="K1721" s="461">
        <v>-700000</v>
      </c>
      <c r="L1721" s="461">
        <v>-700000</v>
      </c>
      <c r="M1721" s="461">
        <v>-685751.96</v>
      </c>
      <c r="N1721" s="461">
        <v>-685751.96</v>
      </c>
      <c r="O1721" s="461">
        <v>-685751.96</v>
      </c>
      <c r="P1721" s="461">
        <v>-685751.96</v>
      </c>
      <c r="Q1721" s="461">
        <v>-685751.96</v>
      </c>
      <c r="R1721" s="461">
        <v>-685751.96</v>
      </c>
      <c r="S1721" s="461">
        <v>-685751.96</v>
      </c>
      <c r="T1721" s="461">
        <v>-685751.96</v>
      </c>
      <c r="U1721" s="461">
        <v>-685751.96</v>
      </c>
      <c r="V1721" s="461">
        <v>-685751.96</v>
      </c>
    </row>
    <row r="1722" spans="1:22" s="455" customFormat="1" hidden="1">
      <c r="A1722" s="455" t="str">
        <f t="shared" si="52"/>
        <v>80002002001210</v>
      </c>
      <c r="B1722" s="455" t="str">
        <f>VLOOKUP(LEFT($C$3:$C$2600,3),Table!$D$2:$E$88,2,FALSE)</f>
        <v>Accounts payable</v>
      </c>
      <c r="C1722" s="455" t="str">
        <f t="shared" si="53"/>
        <v>2002001210</v>
      </c>
      <c r="D1722" s="455" t="e">
        <f>VLOOKUP(G1722,Table!$G$3:$H$21,2,FALSE)</f>
        <v>#N/A</v>
      </c>
      <c r="E1722" s="452" t="s">
        <v>840</v>
      </c>
      <c r="F1722" s="452" t="s">
        <v>157</v>
      </c>
      <c r="G1722" s="452" t="s">
        <v>2044</v>
      </c>
      <c r="H1722" s="452" t="s">
        <v>113</v>
      </c>
      <c r="I1722" s="453" t="s">
        <v>842</v>
      </c>
      <c r="J1722" s="453">
        <v>57766.15</v>
      </c>
      <c r="K1722" s="461">
        <v>40914.5</v>
      </c>
      <c r="L1722" s="461">
        <v>25900</v>
      </c>
      <c r="M1722" s="461">
        <v>12927.5</v>
      </c>
      <c r="N1722" s="461">
        <v>12927.5</v>
      </c>
      <c r="O1722" s="461">
        <v>12927.5</v>
      </c>
      <c r="P1722" s="461">
        <v>12927.5</v>
      </c>
      <c r="Q1722" s="461">
        <v>12927.5</v>
      </c>
      <c r="R1722" s="461">
        <v>12927.5</v>
      </c>
      <c r="S1722" s="461">
        <v>12927.5</v>
      </c>
      <c r="T1722" s="461">
        <v>12927.5</v>
      </c>
      <c r="U1722" s="461">
        <v>12927.5</v>
      </c>
      <c r="V1722" s="461">
        <v>12927.5</v>
      </c>
    </row>
    <row r="1723" spans="1:22" s="455" customFormat="1" hidden="1">
      <c r="A1723" s="455" t="str">
        <f t="shared" si="52"/>
        <v>80002002001300</v>
      </c>
      <c r="B1723" s="455" t="str">
        <f>VLOOKUP(LEFT($C$3:$C$2600,3),Table!$D$2:$E$88,2,FALSE)</f>
        <v>Accounts payable</v>
      </c>
      <c r="C1723" s="455" t="str">
        <f t="shared" si="53"/>
        <v>2002001300</v>
      </c>
      <c r="D1723" s="455" t="e">
        <f>VLOOKUP(G1723,Table!$G$3:$H$21,2,FALSE)</f>
        <v>#N/A</v>
      </c>
      <c r="E1723" s="452" t="s">
        <v>840</v>
      </c>
      <c r="F1723" s="452" t="s">
        <v>157</v>
      </c>
      <c r="G1723" s="452" t="s">
        <v>2045</v>
      </c>
      <c r="H1723" s="452" t="s">
        <v>114</v>
      </c>
      <c r="I1723" s="453" t="s">
        <v>842</v>
      </c>
      <c r="J1723" s="453">
        <v>-1497816.01</v>
      </c>
      <c r="K1723" s="461">
        <v>-1497816.01</v>
      </c>
      <c r="L1723" s="461">
        <v>-1497816.01</v>
      </c>
      <c r="M1723" s="461">
        <v>-1497816.01</v>
      </c>
      <c r="N1723" s="461">
        <v>-1497816.01</v>
      </c>
      <c r="O1723" s="461">
        <v>-1497816.01</v>
      </c>
      <c r="P1723" s="461">
        <v>-1497816.01</v>
      </c>
      <c r="Q1723" s="461">
        <v>-1497816.01</v>
      </c>
      <c r="R1723" s="461">
        <v>-1497816.01</v>
      </c>
      <c r="S1723" s="461">
        <v>-1497816.01</v>
      </c>
      <c r="T1723" s="461">
        <v>-1497816.01</v>
      </c>
      <c r="U1723" s="461">
        <v>-1497816.01</v>
      </c>
      <c r="V1723" s="461">
        <v>-1497816.01</v>
      </c>
    </row>
    <row r="1724" spans="1:22" s="455" customFormat="1" hidden="1">
      <c r="A1724" s="455" t="str">
        <f t="shared" si="52"/>
        <v>80002002001300</v>
      </c>
      <c r="B1724" s="455" t="str">
        <f>VLOOKUP(LEFT($C$3:$C$2600,3),Table!$D$2:$E$88,2,FALSE)</f>
        <v>Accounts payable</v>
      </c>
      <c r="C1724" s="455" t="str">
        <f t="shared" si="53"/>
        <v>2002001300</v>
      </c>
      <c r="D1724" s="455" t="e">
        <f>VLOOKUP(G1724,Table!$G$3:$H$21,2,FALSE)</f>
        <v>#N/A</v>
      </c>
      <c r="E1724" s="452" t="s">
        <v>840</v>
      </c>
      <c r="F1724" s="452" t="s">
        <v>157</v>
      </c>
      <c r="G1724" s="452" t="s">
        <v>2045</v>
      </c>
      <c r="H1724" s="452" t="s">
        <v>114</v>
      </c>
      <c r="I1724" s="453" t="s">
        <v>844</v>
      </c>
      <c r="J1724" s="453">
        <v>0</v>
      </c>
      <c r="K1724" s="461">
        <v>-179362</v>
      </c>
      <c r="L1724" s="461">
        <v>-354829</v>
      </c>
      <c r="M1724" s="461">
        <v>770980.52</v>
      </c>
      <c r="N1724" s="461">
        <v>770980.52</v>
      </c>
      <c r="O1724" s="461">
        <v>770980.52</v>
      </c>
      <c r="P1724" s="461">
        <v>770980.52</v>
      </c>
      <c r="Q1724" s="461">
        <v>0</v>
      </c>
      <c r="R1724" s="461">
        <v>0</v>
      </c>
      <c r="S1724" s="461">
        <v>0</v>
      </c>
      <c r="T1724" s="461">
        <v>0</v>
      </c>
      <c r="U1724" s="461">
        <v>0</v>
      </c>
      <c r="V1724" s="461">
        <v>0</v>
      </c>
    </row>
    <row r="1725" spans="1:22" s="455" customFormat="1" hidden="1">
      <c r="A1725" s="455" t="str">
        <f t="shared" si="52"/>
        <v>80002002001310</v>
      </c>
      <c r="B1725" s="455" t="str">
        <f>VLOOKUP(LEFT($C$3:$C$2600,3),Table!$D$2:$E$88,2,FALSE)</f>
        <v>Accounts payable</v>
      </c>
      <c r="C1725" s="455" t="str">
        <f t="shared" si="53"/>
        <v>2002001310</v>
      </c>
      <c r="D1725" s="455" t="e">
        <f>VLOOKUP(G1725,Table!$G$3:$H$21,2,FALSE)</f>
        <v>#N/A</v>
      </c>
      <c r="E1725" s="452" t="s">
        <v>840</v>
      </c>
      <c r="F1725" s="452" t="s">
        <v>157</v>
      </c>
      <c r="G1725" s="452" t="s">
        <v>2046</v>
      </c>
      <c r="H1725" s="452" t="s">
        <v>115</v>
      </c>
      <c r="I1725" s="453" t="s">
        <v>842</v>
      </c>
      <c r="J1725" s="453">
        <v>-72334.149999999994</v>
      </c>
      <c r="K1725" s="461">
        <v>-72334.149999999994</v>
      </c>
      <c r="L1725" s="461">
        <v>-72334.149999999994</v>
      </c>
      <c r="M1725" s="461">
        <v>-72334.149999999994</v>
      </c>
      <c r="N1725" s="461">
        <v>-72334.149999999994</v>
      </c>
      <c r="O1725" s="461">
        <v>-72334.149999999994</v>
      </c>
      <c r="P1725" s="461">
        <v>-72334.149999999994</v>
      </c>
      <c r="Q1725" s="461">
        <v>-72334.149999999994</v>
      </c>
      <c r="R1725" s="461">
        <v>-72334.149999999994</v>
      </c>
      <c r="S1725" s="461">
        <v>-72334.149999999994</v>
      </c>
      <c r="T1725" s="461">
        <v>-72334.149999999994</v>
      </c>
      <c r="U1725" s="461">
        <v>-72334.149999999994</v>
      </c>
      <c r="V1725" s="461">
        <v>-72334.149999999994</v>
      </c>
    </row>
    <row r="1726" spans="1:22" s="455" customFormat="1" hidden="1">
      <c r="A1726" s="455" t="str">
        <f t="shared" si="52"/>
        <v>80002002001310</v>
      </c>
      <c r="B1726" s="455" t="str">
        <f>VLOOKUP(LEFT($C$3:$C$2600,3),Table!$D$2:$E$88,2,FALSE)</f>
        <v>Accounts payable</v>
      </c>
      <c r="C1726" s="455" t="str">
        <f t="shared" si="53"/>
        <v>2002001310</v>
      </c>
      <c r="D1726" s="455" t="e">
        <f>VLOOKUP(G1726,Table!$G$3:$H$21,2,FALSE)</f>
        <v>#N/A</v>
      </c>
      <c r="E1726" s="452" t="s">
        <v>840</v>
      </c>
      <c r="F1726" s="452" t="s">
        <v>157</v>
      </c>
      <c r="G1726" s="452" t="s">
        <v>2046</v>
      </c>
      <c r="H1726" s="452" t="s">
        <v>115</v>
      </c>
      <c r="I1726" s="453" t="s">
        <v>844</v>
      </c>
      <c r="J1726" s="453">
        <v>0</v>
      </c>
      <c r="K1726" s="461">
        <v>-23857.22</v>
      </c>
      <c r="L1726" s="461">
        <v>-47811.41</v>
      </c>
      <c r="M1726" s="461">
        <v>-24429.26</v>
      </c>
      <c r="N1726" s="461">
        <v>-24429.26</v>
      </c>
      <c r="O1726" s="461">
        <v>-24429.26</v>
      </c>
      <c r="P1726" s="461">
        <v>-24429.26</v>
      </c>
      <c r="Q1726" s="461">
        <v>0</v>
      </c>
      <c r="R1726" s="461">
        <v>0</v>
      </c>
      <c r="S1726" s="461">
        <v>0</v>
      </c>
      <c r="T1726" s="461">
        <v>0</v>
      </c>
      <c r="U1726" s="461">
        <v>0</v>
      </c>
      <c r="V1726" s="461">
        <v>0</v>
      </c>
    </row>
    <row r="1727" spans="1:22" s="455" customFormat="1" hidden="1">
      <c r="A1727" s="455" t="str">
        <f t="shared" si="52"/>
        <v>80002002001311</v>
      </c>
      <c r="B1727" s="455" t="str">
        <f>VLOOKUP(LEFT($C$3:$C$2600,3),Table!$D$2:$E$88,2,FALSE)</f>
        <v>Accounts payable</v>
      </c>
      <c r="C1727" s="455" t="str">
        <f t="shared" si="53"/>
        <v>2002001311</v>
      </c>
      <c r="D1727" s="455" t="e">
        <f>VLOOKUP(G1727,Table!$G$3:$H$21,2,FALSE)</f>
        <v>#N/A</v>
      </c>
      <c r="E1727" s="452" t="s">
        <v>840</v>
      </c>
      <c r="F1727" s="452" t="s">
        <v>157</v>
      </c>
      <c r="G1727" s="452" t="s">
        <v>2047</v>
      </c>
      <c r="H1727" s="452" t="s">
        <v>116</v>
      </c>
      <c r="I1727" s="453" t="s">
        <v>842</v>
      </c>
      <c r="J1727" s="453">
        <v>-153695.85</v>
      </c>
      <c r="K1727" s="461">
        <v>-153695.85</v>
      </c>
      <c r="L1727" s="461">
        <v>-153695.85</v>
      </c>
      <c r="M1727" s="461">
        <v>-153695.85</v>
      </c>
      <c r="N1727" s="461">
        <v>-153695.85</v>
      </c>
      <c r="O1727" s="461">
        <v>-153695.85</v>
      </c>
      <c r="P1727" s="461">
        <v>-153695.85</v>
      </c>
      <c r="Q1727" s="461">
        <v>-153695.85</v>
      </c>
      <c r="R1727" s="461">
        <v>-153695.85</v>
      </c>
      <c r="S1727" s="461">
        <v>-153695.85</v>
      </c>
      <c r="T1727" s="461">
        <v>-153695.85</v>
      </c>
      <c r="U1727" s="461">
        <v>-153695.85</v>
      </c>
      <c r="V1727" s="461">
        <v>-153695.85</v>
      </c>
    </row>
    <row r="1728" spans="1:22" s="455" customFormat="1" hidden="1">
      <c r="A1728" s="455" t="str">
        <f t="shared" si="52"/>
        <v>80002002001311</v>
      </c>
      <c r="B1728" s="455" t="str">
        <f>VLOOKUP(LEFT($C$3:$C$2600,3),Table!$D$2:$E$88,2,FALSE)</f>
        <v>Accounts payable</v>
      </c>
      <c r="C1728" s="455" t="str">
        <f t="shared" si="53"/>
        <v>2002001311</v>
      </c>
      <c r="D1728" s="455" t="e">
        <f>VLOOKUP(G1728,Table!$G$3:$H$21,2,FALSE)</f>
        <v>#N/A</v>
      </c>
      <c r="E1728" s="452" t="s">
        <v>840</v>
      </c>
      <c r="F1728" s="452" t="s">
        <v>157</v>
      </c>
      <c r="G1728" s="452" t="s">
        <v>2047</v>
      </c>
      <c r="H1728" s="452" t="s">
        <v>116</v>
      </c>
      <c r="I1728" s="453" t="s">
        <v>844</v>
      </c>
      <c r="J1728" s="453">
        <v>0</v>
      </c>
      <c r="K1728" s="461">
        <v>-41755.58</v>
      </c>
      <c r="L1728" s="461">
        <v>-83775.600000000006</v>
      </c>
      <c r="M1728" s="461">
        <v>-54288.33</v>
      </c>
      <c r="N1728" s="461">
        <v>-54288.33</v>
      </c>
      <c r="O1728" s="461">
        <v>-54288.33</v>
      </c>
      <c r="P1728" s="461">
        <v>-54288.33</v>
      </c>
      <c r="Q1728" s="461">
        <v>0</v>
      </c>
      <c r="R1728" s="461">
        <v>0</v>
      </c>
      <c r="S1728" s="461">
        <v>0</v>
      </c>
      <c r="T1728" s="461">
        <v>0</v>
      </c>
      <c r="U1728" s="461">
        <v>0</v>
      </c>
      <c r="V1728" s="461">
        <v>0</v>
      </c>
    </row>
    <row r="1729" spans="1:22" s="455" customFormat="1" hidden="1">
      <c r="A1729" s="455" t="str">
        <f t="shared" si="52"/>
        <v>80002002002000</v>
      </c>
      <c r="B1729" s="455" t="str">
        <f>VLOOKUP(LEFT($C$3:$C$2600,3),Table!$D$2:$E$88,2,FALSE)</f>
        <v>Accounts payable</v>
      </c>
      <c r="C1729" s="455" t="str">
        <f t="shared" si="53"/>
        <v>2002002000</v>
      </c>
      <c r="D1729" s="455" t="e">
        <f>VLOOKUP(G1729,Table!$G$3:$H$21,2,FALSE)</f>
        <v>#N/A</v>
      </c>
      <c r="E1729" s="452" t="s">
        <v>840</v>
      </c>
      <c r="F1729" s="452" t="s">
        <v>157</v>
      </c>
      <c r="G1729" s="452" t="s">
        <v>2048</v>
      </c>
      <c r="H1729" s="452" t="s">
        <v>117</v>
      </c>
      <c r="I1729" s="453" t="s">
        <v>842</v>
      </c>
      <c r="J1729" s="453">
        <v>-10323.719999999999</v>
      </c>
      <c r="K1729" s="461">
        <v>-1504.52</v>
      </c>
      <c r="L1729" s="461">
        <v>-1504.52</v>
      </c>
      <c r="M1729" s="461">
        <v>-33522.57</v>
      </c>
      <c r="N1729" s="461">
        <v>-1504.52</v>
      </c>
      <c r="O1729" s="461">
        <v>-1504.52</v>
      </c>
      <c r="P1729" s="461">
        <v>-1504.52</v>
      </c>
      <c r="Q1729" s="461">
        <v>-1504.52</v>
      </c>
      <c r="R1729" s="461">
        <v>-1504.52</v>
      </c>
      <c r="S1729" s="461">
        <v>-1504.52</v>
      </c>
      <c r="T1729" s="461">
        <v>-1504.52</v>
      </c>
      <c r="U1729" s="461">
        <v>-1504.52</v>
      </c>
      <c r="V1729" s="461">
        <v>-1504.52</v>
      </c>
    </row>
    <row r="1730" spans="1:22" s="455" customFormat="1" hidden="1">
      <c r="A1730" s="455" t="str">
        <f t="shared" si="52"/>
        <v>80002002003000</v>
      </c>
      <c r="B1730" s="455" t="str">
        <f>VLOOKUP(LEFT($C$3:$C$2600,3),Table!$D$2:$E$88,2,FALSE)</f>
        <v>Accounts payable</v>
      </c>
      <c r="C1730" s="455" t="str">
        <f t="shared" si="53"/>
        <v>2002003000</v>
      </c>
      <c r="D1730" s="455" t="e">
        <f>VLOOKUP(G1730,Table!$G$3:$H$21,2,FALSE)</f>
        <v>#N/A</v>
      </c>
      <c r="E1730" s="452" t="s">
        <v>840</v>
      </c>
      <c r="F1730" s="452" t="s">
        <v>157</v>
      </c>
      <c r="G1730" s="452" t="s">
        <v>2049</v>
      </c>
      <c r="H1730" s="452" t="s">
        <v>244</v>
      </c>
      <c r="I1730" s="453" t="s">
        <v>842</v>
      </c>
      <c r="J1730" s="453">
        <v>-168000</v>
      </c>
      <c r="K1730" s="461">
        <v>-168000</v>
      </c>
      <c r="L1730" s="461">
        <v>-168000</v>
      </c>
      <c r="M1730" s="461">
        <v>-168000</v>
      </c>
      <c r="N1730" s="461">
        <v>-168000</v>
      </c>
      <c r="O1730" s="461">
        <v>-168000</v>
      </c>
      <c r="P1730" s="461">
        <v>-168000</v>
      </c>
      <c r="Q1730" s="461">
        <v>-168000</v>
      </c>
      <c r="R1730" s="461">
        <v>-168000</v>
      </c>
      <c r="S1730" s="461">
        <v>-168000</v>
      </c>
      <c r="T1730" s="461">
        <v>-168000</v>
      </c>
      <c r="U1730" s="461">
        <v>-168000</v>
      </c>
      <c r="V1730" s="461">
        <v>-168000</v>
      </c>
    </row>
    <row r="1731" spans="1:22" s="455" customFormat="1" hidden="1">
      <c r="A1731" s="455" t="str">
        <f t="shared" si="52"/>
        <v>80002002003100</v>
      </c>
      <c r="B1731" s="455" t="str">
        <f>VLOOKUP(LEFT($C$3:$C$2600,3),Table!$D$2:$E$88,2,FALSE)</f>
        <v>Accounts payable</v>
      </c>
      <c r="C1731" s="455" t="str">
        <f t="shared" si="53"/>
        <v>2002003100</v>
      </c>
      <c r="D1731" s="455" t="e">
        <f>VLOOKUP(G1731,Table!$G$3:$H$21,2,FALSE)</f>
        <v>#N/A</v>
      </c>
      <c r="E1731" s="452" t="s">
        <v>840</v>
      </c>
      <c r="F1731" s="452" t="s">
        <v>157</v>
      </c>
      <c r="G1731" s="452" t="s">
        <v>2050</v>
      </c>
      <c r="H1731" s="452" t="s">
        <v>764</v>
      </c>
      <c r="I1731" s="453" t="s">
        <v>842</v>
      </c>
      <c r="J1731" s="453">
        <v>-724508.33</v>
      </c>
      <c r="K1731" s="461">
        <v>-724508.33</v>
      </c>
      <c r="L1731" s="461">
        <v>-724508.33</v>
      </c>
      <c r="M1731" s="461">
        <v>-724508.33</v>
      </c>
      <c r="N1731" s="461">
        <v>-724508.33</v>
      </c>
      <c r="O1731" s="461">
        <v>-724508.33</v>
      </c>
      <c r="P1731" s="461">
        <v>-724508.33</v>
      </c>
      <c r="Q1731" s="461">
        <v>-724508.33</v>
      </c>
      <c r="R1731" s="461">
        <v>-724508.33</v>
      </c>
      <c r="S1731" s="461">
        <v>-724508.33</v>
      </c>
      <c r="T1731" s="461">
        <v>-724508.33</v>
      </c>
      <c r="U1731" s="461">
        <v>-724508.33</v>
      </c>
      <c r="V1731" s="461">
        <v>-724508.33</v>
      </c>
    </row>
    <row r="1732" spans="1:22" s="455" customFormat="1" hidden="1">
      <c r="A1732" s="455" t="str">
        <f t="shared" ref="A1732:A1795" si="54">F1732&amp;G1732</f>
        <v>80002002003100</v>
      </c>
      <c r="B1732" s="455" t="str">
        <f>VLOOKUP(LEFT($C$3:$C$2600,3),Table!$D$2:$E$88,2,FALSE)</f>
        <v>Accounts payable</v>
      </c>
      <c r="C1732" s="455" t="str">
        <f t="shared" ref="C1732:C1795" si="55">IF(ISNA(D1732),G1732,D1732)</f>
        <v>2002003100</v>
      </c>
      <c r="D1732" s="455" t="e">
        <f>VLOOKUP(G1732,Table!$G$3:$H$21,2,FALSE)</f>
        <v>#N/A</v>
      </c>
      <c r="E1732" s="452" t="s">
        <v>840</v>
      </c>
      <c r="F1732" s="452" t="s">
        <v>157</v>
      </c>
      <c r="G1732" s="452" t="s">
        <v>2050</v>
      </c>
      <c r="H1732" s="452" t="s">
        <v>764</v>
      </c>
      <c r="I1732" s="453" t="s">
        <v>844</v>
      </c>
      <c r="J1732" s="453">
        <v>0</v>
      </c>
      <c r="K1732" s="461">
        <v>-6571.15</v>
      </c>
      <c r="L1732" s="461">
        <v>-91274.32</v>
      </c>
      <c r="M1732" s="461">
        <v>131872.47</v>
      </c>
      <c r="N1732" s="461">
        <v>724508.33</v>
      </c>
      <c r="O1732" s="461">
        <v>724508.33</v>
      </c>
      <c r="P1732" s="461">
        <v>724508.33</v>
      </c>
      <c r="Q1732" s="461">
        <v>0</v>
      </c>
      <c r="R1732" s="461">
        <v>0</v>
      </c>
      <c r="S1732" s="461">
        <v>0</v>
      </c>
      <c r="T1732" s="461">
        <v>0</v>
      </c>
      <c r="U1732" s="461">
        <v>0</v>
      </c>
      <c r="V1732" s="461">
        <v>0</v>
      </c>
    </row>
    <row r="1733" spans="1:22" s="455" customFormat="1" hidden="1">
      <c r="A1733" s="455" t="str">
        <f t="shared" si="54"/>
        <v>80002002003110</v>
      </c>
      <c r="B1733" s="455" t="str">
        <f>VLOOKUP(LEFT($C$3:$C$2600,3),Table!$D$2:$E$88,2,FALSE)</f>
        <v>Accounts payable</v>
      </c>
      <c r="C1733" s="455" t="str">
        <f t="shared" si="55"/>
        <v>2002003110</v>
      </c>
      <c r="D1733" s="455" t="e">
        <f>VLOOKUP(G1733,Table!$G$3:$H$21,2,FALSE)</f>
        <v>#N/A</v>
      </c>
      <c r="E1733" s="452" t="s">
        <v>840</v>
      </c>
      <c r="F1733" s="452" t="s">
        <v>157</v>
      </c>
      <c r="G1733" s="452" t="s">
        <v>2510</v>
      </c>
      <c r="H1733" s="452" t="s">
        <v>765</v>
      </c>
      <c r="I1733" s="453" t="s">
        <v>842</v>
      </c>
      <c r="J1733" s="453">
        <v>-16232.98</v>
      </c>
      <c r="K1733" s="461">
        <v>-16232.98</v>
      </c>
      <c r="L1733" s="461">
        <v>-16232.98</v>
      </c>
      <c r="M1733" s="461">
        <v>-16232.98</v>
      </c>
      <c r="N1733" s="461">
        <v>-16232.98</v>
      </c>
      <c r="O1733" s="461">
        <v>-16232.98</v>
      </c>
      <c r="P1733" s="461">
        <v>-16232.98</v>
      </c>
      <c r="Q1733" s="461">
        <v>-16232.98</v>
      </c>
      <c r="R1733" s="461">
        <v>-16232.98</v>
      </c>
      <c r="S1733" s="461">
        <v>-16232.98</v>
      </c>
      <c r="T1733" s="461">
        <v>-16232.98</v>
      </c>
      <c r="U1733" s="461">
        <v>-16232.98</v>
      </c>
      <c r="V1733" s="461">
        <v>-16232.98</v>
      </c>
    </row>
    <row r="1734" spans="1:22" s="455" customFormat="1" hidden="1">
      <c r="A1734" s="455" t="str">
        <f t="shared" si="54"/>
        <v>80002002003110</v>
      </c>
      <c r="B1734" s="455" t="str">
        <f>VLOOKUP(LEFT($C$3:$C$2600,3),Table!$D$2:$E$88,2,FALSE)</f>
        <v>Accounts payable</v>
      </c>
      <c r="C1734" s="455" t="str">
        <f t="shared" si="55"/>
        <v>2002003110</v>
      </c>
      <c r="D1734" s="455" t="e">
        <f>VLOOKUP(G1734,Table!$G$3:$H$21,2,FALSE)</f>
        <v>#N/A</v>
      </c>
      <c r="E1734" s="452" t="s">
        <v>840</v>
      </c>
      <c r="F1734" s="452" t="s">
        <v>157</v>
      </c>
      <c r="G1734" s="452" t="s">
        <v>2510</v>
      </c>
      <c r="H1734" s="452" t="s">
        <v>765</v>
      </c>
      <c r="I1734" s="453" t="s">
        <v>844</v>
      </c>
      <c r="J1734" s="453">
        <v>0</v>
      </c>
      <c r="K1734" s="461">
        <v>-4974.0200000000004</v>
      </c>
      <c r="L1734" s="461">
        <v>-3580.39</v>
      </c>
      <c r="M1734" s="461">
        <v>7558.46</v>
      </c>
      <c r="N1734" s="461">
        <v>16232.98</v>
      </c>
      <c r="O1734" s="461">
        <v>16232.98</v>
      </c>
      <c r="P1734" s="461">
        <v>16232.98</v>
      </c>
      <c r="Q1734" s="461">
        <v>0</v>
      </c>
      <c r="R1734" s="461">
        <v>0</v>
      </c>
      <c r="S1734" s="461">
        <v>0</v>
      </c>
      <c r="T1734" s="461">
        <v>0</v>
      </c>
      <c r="U1734" s="461">
        <v>0</v>
      </c>
      <c r="V1734" s="461">
        <v>0</v>
      </c>
    </row>
    <row r="1735" spans="1:22" s="455" customFormat="1" hidden="1">
      <c r="A1735" s="455" t="str">
        <f t="shared" si="54"/>
        <v>80002002101500</v>
      </c>
      <c r="B1735" s="455" t="str">
        <f>VLOOKUP(LEFT($C$3:$C$2600,3),Table!$D$2:$E$88,2,FALSE)</f>
        <v>Accounts payable</v>
      </c>
      <c r="C1735" s="455" t="str">
        <f t="shared" si="55"/>
        <v>2002101500</v>
      </c>
      <c r="D1735" s="455" t="e">
        <f>VLOOKUP(G1735,Table!$G$3:$H$21,2,FALSE)</f>
        <v>#N/A</v>
      </c>
      <c r="E1735" s="452" t="s">
        <v>840</v>
      </c>
      <c r="F1735" s="452" t="s">
        <v>157</v>
      </c>
      <c r="G1735" s="452" t="s">
        <v>2051</v>
      </c>
      <c r="H1735" s="452" t="s">
        <v>725</v>
      </c>
      <c r="I1735" s="453" t="s">
        <v>842</v>
      </c>
      <c r="J1735" s="453">
        <v>0</v>
      </c>
      <c r="K1735" s="461">
        <v>-413.95</v>
      </c>
      <c r="L1735" s="461">
        <v>0</v>
      </c>
      <c r="M1735" s="461">
        <v>0</v>
      </c>
      <c r="N1735" s="461">
        <v>0</v>
      </c>
      <c r="O1735" s="461">
        <v>0</v>
      </c>
      <c r="P1735" s="461">
        <v>0</v>
      </c>
      <c r="Q1735" s="461">
        <v>0</v>
      </c>
      <c r="R1735" s="461">
        <v>0</v>
      </c>
      <c r="S1735" s="461">
        <v>0</v>
      </c>
      <c r="T1735" s="461">
        <v>0</v>
      </c>
      <c r="U1735" s="461">
        <v>0</v>
      </c>
      <c r="V1735" s="461">
        <v>0</v>
      </c>
    </row>
    <row r="1736" spans="1:22" s="455" customFormat="1" hidden="1">
      <c r="A1736" s="455" t="str">
        <f t="shared" si="54"/>
        <v>80002002101600</v>
      </c>
      <c r="B1736" s="455" t="str">
        <f>VLOOKUP(LEFT($C$3:$C$2600,3),Table!$D$2:$E$88,2,FALSE)</f>
        <v>Accounts payable</v>
      </c>
      <c r="C1736" s="455" t="str">
        <f t="shared" si="55"/>
        <v>2002101600</v>
      </c>
      <c r="D1736" s="455" t="e">
        <f>VLOOKUP(G1736,Table!$G$3:$H$21,2,FALSE)</f>
        <v>#N/A</v>
      </c>
      <c r="E1736" s="452" t="s">
        <v>840</v>
      </c>
      <c r="F1736" s="452" t="s">
        <v>157</v>
      </c>
      <c r="G1736" s="452" t="s">
        <v>2052</v>
      </c>
      <c r="H1736" s="452" t="s">
        <v>86</v>
      </c>
      <c r="I1736" s="453" t="s">
        <v>842</v>
      </c>
      <c r="J1736" s="453">
        <v>-99000</v>
      </c>
      <c r="K1736" s="461">
        <v>-99000</v>
      </c>
      <c r="L1736" s="461">
        <v>-99000</v>
      </c>
      <c r="M1736" s="461">
        <v>-99000</v>
      </c>
      <c r="N1736" s="461">
        <v>-99000</v>
      </c>
      <c r="O1736" s="461">
        <v>-99000</v>
      </c>
      <c r="P1736" s="461">
        <v>-99000</v>
      </c>
      <c r="Q1736" s="461">
        <v>-99000</v>
      </c>
      <c r="R1736" s="461">
        <v>-99000</v>
      </c>
      <c r="S1736" s="461">
        <v>-99000</v>
      </c>
      <c r="T1736" s="461">
        <v>-99000</v>
      </c>
      <c r="U1736" s="461">
        <v>-99000</v>
      </c>
      <c r="V1736" s="461">
        <v>-99000</v>
      </c>
    </row>
    <row r="1737" spans="1:22" s="455" customFormat="1" hidden="1">
      <c r="A1737" s="455" t="str">
        <f t="shared" si="54"/>
        <v>80002002101601</v>
      </c>
      <c r="B1737" s="455" t="str">
        <f>VLOOKUP(LEFT($C$3:$C$2600,3),Table!$D$2:$E$88,2,FALSE)</f>
        <v>Accounts payable</v>
      </c>
      <c r="C1737" s="455" t="str">
        <f t="shared" si="55"/>
        <v>2002101601</v>
      </c>
      <c r="D1737" s="455" t="e">
        <f>VLOOKUP(G1737,Table!$G$3:$H$21,2,FALSE)</f>
        <v>#N/A</v>
      </c>
      <c r="E1737" s="452" t="s">
        <v>840</v>
      </c>
      <c r="F1737" s="452" t="s">
        <v>157</v>
      </c>
      <c r="G1737" s="452" t="s">
        <v>2053</v>
      </c>
      <c r="H1737" s="452" t="s">
        <v>87</v>
      </c>
      <c r="I1737" s="453" t="s">
        <v>842</v>
      </c>
      <c r="J1737" s="453">
        <v>-15930</v>
      </c>
      <c r="K1737" s="461">
        <v>-17130</v>
      </c>
      <c r="L1737" s="461">
        <v>-18330</v>
      </c>
      <c r="M1737" s="461">
        <v>-14654</v>
      </c>
      <c r="N1737" s="461">
        <v>-14654</v>
      </c>
      <c r="O1737" s="461">
        <v>-14654</v>
      </c>
      <c r="P1737" s="461">
        <v>-14654</v>
      </c>
      <c r="Q1737" s="461">
        <v>-14654</v>
      </c>
      <c r="R1737" s="461">
        <v>-14654</v>
      </c>
      <c r="S1737" s="461">
        <v>-14654</v>
      </c>
      <c r="T1737" s="461">
        <v>-14654</v>
      </c>
      <c r="U1737" s="461">
        <v>-14654</v>
      </c>
      <c r="V1737" s="461">
        <v>-14654</v>
      </c>
    </row>
    <row r="1738" spans="1:22" s="455" customFormat="1" hidden="1">
      <c r="A1738" s="455" t="str">
        <f t="shared" si="54"/>
        <v>80002002102000</v>
      </c>
      <c r="B1738" s="455" t="str">
        <f>VLOOKUP(LEFT($C$3:$C$2600,3),Table!$D$2:$E$88,2,FALSE)</f>
        <v>Accounts payable</v>
      </c>
      <c r="C1738" s="455" t="str">
        <f t="shared" si="55"/>
        <v>2002102000</v>
      </c>
      <c r="D1738" s="455" t="e">
        <f>VLOOKUP(G1738,Table!$G$3:$H$21,2,FALSE)</f>
        <v>#N/A</v>
      </c>
      <c r="E1738" s="452" t="s">
        <v>840</v>
      </c>
      <c r="F1738" s="452" t="s">
        <v>157</v>
      </c>
      <c r="G1738" s="452" t="s">
        <v>2054</v>
      </c>
      <c r="H1738" s="452" t="s">
        <v>637</v>
      </c>
      <c r="I1738" s="453" t="s">
        <v>842</v>
      </c>
      <c r="J1738" s="453">
        <v>0</v>
      </c>
      <c r="K1738" s="461">
        <v>-44039</v>
      </c>
      <c r="L1738" s="461">
        <v>0</v>
      </c>
      <c r="M1738" s="461">
        <v>0</v>
      </c>
      <c r="N1738" s="461">
        <v>0</v>
      </c>
      <c r="O1738" s="461">
        <v>0</v>
      </c>
      <c r="P1738" s="461">
        <v>0</v>
      </c>
      <c r="Q1738" s="461">
        <v>0</v>
      </c>
      <c r="R1738" s="461">
        <v>0</v>
      </c>
      <c r="S1738" s="461">
        <v>0</v>
      </c>
      <c r="T1738" s="461">
        <v>0</v>
      </c>
      <c r="U1738" s="461">
        <v>0</v>
      </c>
      <c r="V1738" s="461">
        <v>0</v>
      </c>
    </row>
    <row r="1739" spans="1:22" s="455" customFormat="1" hidden="1">
      <c r="A1739" s="455" t="str">
        <f t="shared" si="54"/>
        <v>80002011101200</v>
      </c>
      <c r="B1739" s="455" t="str">
        <f>VLOOKUP(LEFT($C$3:$C$2600,3),Table!$D$2:$E$88,2,FALSE)</f>
        <v>Cash and Time deposit</v>
      </c>
      <c r="C1739" s="455" t="str">
        <f t="shared" si="55"/>
        <v>2011101200</v>
      </c>
      <c r="D1739" s="455" t="e">
        <f>VLOOKUP(G1739,Table!$G$3:$H$21,2,FALSE)</f>
        <v>#N/A</v>
      </c>
      <c r="E1739" s="452" t="s">
        <v>840</v>
      </c>
      <c r="F1739" s="452" t="s">
        <v>157</v>
      </c>
      <c r="G1739" s="452" t="s">
        <v>2055</v>
      </c>
      <c r="H1739" s="452" t="s">
        <v>569</v>
      </c>
      <c r="I1739" s="453" t="s">
        <v>842</v>
      </c>
      <c r="J1739" s="453">
        <v>-207177.44</v>
      </c>
      <c r="K1739" s="461">
        <v>-81577.16</v>
      </c>
      <c r="L1739" s="461">
        <v>-82288.2</v>
      </c>
      <c r="M1739" s="461">
        <v>-54696.72</v>
      </c>
      <c r="N1739" s="461">
        <v>-2057597.02</v>
      </c>
      <c r="O1739" s="461">
        <v>-2057597.02</v>
      </c>
      <c r="P1739" s="461">
        <v>-2057597.02</v>
      </c>
      <c r="Q1739" s="461">
        <v>-2057597.02</v>
      </c>
      <c r="R1739" s="461">
        <v>-2057597.02</v>
      </c>
      <c r="S1739" s="461">
        <v>-2057597.02</v>
      </c>
      <c r="T1739" s="461">
        <v>-2057597.02</v>
      </c>
      <c r="U1739" s="461">
        <v>-2057597.02</v>
      </c>
      <c r="V1739" s="461">
        <v>-2057597.02</v>
      </c>
    </row>
    <row r="1740" spans="1:22" s="455" customFormat="1" hidden="1">
      <c r="A1740" s="455" t="str">
        <f t="shared" si="54"/>
        <v>80002011101210</v>
      </c>
      <c r="B1740" s="455" t="str">
        <f>VLOOKUP(LEFT($C$3:$C$2600,3),Table!$D$2:$E$88,2,FALSE)</f>
        <v>Cash and Time deposit</v>
      </c>
      <c r="C1740" s="455" t="str">
        <f t="shared" si="55"/>
        <v>2011101210</v>
      </c>
      <c r="D1740" s="455" t="e">
        <f>VLOOKUP(G1740,Table!$G$3:$H$21,2,FALSE)</f>
        <v>#N/A</v>
      </c>
      <c r="E1740" s="452" t="s">
        <v>840</v>
      </c>
      <c r="F1740" s="452" t="s">
        <v>157</v>
      </c>
      <c r="G1740" s="452" t="s">
        <v>2511</v>
      </c>
      <c r="H1740" s="452" t="s">
        <v>2512</v>
      </c>
      <c r="I1740" s="453" t="s">
        <v>842</v>
      </c>
      <c r="J1740" s="453">
        <v>32585.42</v>
      </c>
      <c r="K1740" s="461">
        <v>0</v>
      </c>
      <c r="L1740" s="461">
        <v>50722.53</v>
      </c>
      <c r="M1740" s="461">
        <v>315524.21999999997</v>
      </c>
      <c r="N1740" s="461">
        <v>5151553.21</v>
      </c>
      <c r="O1740" s="461">
        <v>5151553.21</v>
      </c>
      <c r="P1740" s="461">
        <v>5151553.21</v>
      </c>
      <c r="Q1740" s="461">
        <v>5151553.21</v>
      </c>
      <c r="R1740" s="461">
        <v>5151553.21</v>
      </c>
      <c r="S1740" s="461">
        <v>5151553.21</v>
      </c>
      <c r="T1740" s="461">
        <v>5151553.21</v>
      </c>
      <c r="U1740" s="461">
        <v>5151553.21</v>
      </c>
      <c r="V1740" s="461">
        <v>5151553.21</v>
      </c>
    </row>
    <row r="1741" spans="1:22" s="455" customFormat="1" hidden="1">
      <c r="A1741" s="455" t="str">
        <f t="shared" si="54"/>
        <v>80002011201200</v>
      </c>
      <c r="B1741" s="455" t="str">
        <f>VLOOKUP(LEFT($C$3:$C$2600,3),Table!$D$2:$E$88,2,FALSE)</f>
        <v>Cash and Time deposit</v>
      </c>
      <c r="C1741" s="455" t="str">
        <f t="shared" si="55"/>
        <v>2011201200</v>
      </c>
      <c r="D1741" s="455" t="e">
        <f>VLOOKUP(G1741,Table!$G$3:$H$21,2,FALSE)</f>
        <v>#N/A</v>
      </c>
      <c r="E1741" s="452" t="s">
        <v>840</v>
      </c>
      <c r="F1741" s="452" t="s">
        <v>157</v>
      </c>
      <c r="G1741" s="452" t="s">
        <v>2056</v>
      </c>
      <c r="H1741" s="452" t="s">
        <v>10</v>
      </c>
      <c r="I1741" s="453" t="s">
        <v>842</v>
      </c>
      <c r="J1741" s="453">
        <v>918780.44</v>
      </c>
      <c r="K1741" s="461">
        <v>1149136.6200000001</v>
      </c>
      <c r="L1741" s="461">
        <v>1518721.79</v>
      </c>
      <c r="M1741" s="461">
        <v>1127656.52</v>
      </c>
      <c r="N1741" s="461">
        <v>6561585.0700000003</v>
      </c>
      <c r="O1741" s="461">
        <v>6561585.0700000003</v>
      </c>
      <c r="P1741" s="461">
        <v>6561585.0700000003</v>
      </c>
      <c r="Q1741" s="461">
        <v>6561585.0700000003</v>
      </c>
      <c r="R1741" s="461">
        <v>6561585.0700000003</v>
      </c>
      <c r="S1741" s="461">
        <v>6561585.0700000003</v>
      </c>
      <c r="T1741" s="461">
        <v>6561585.0700000003</v>
      </c>
      <c r="U1741" s="461">
        <v>6561585.0700000003</v>
      </c>
      <c r="V1741" s="461">
        <v>6561585.0700000003</v>
      </c>
    </row>
    <row r="1742" spans="1:22" s="455" customFormat="1" hidden="1">
      <c r="A1742" s="455" t="str">
        <f t="shared" si="54"/>
        <v>80002011201210</v>
      </c>
      <c r="B1742" s="455" t="str">
        <f>VLOOKUP(LEFT($C$3:$C$2600,3),Table!$D$2:$E$88,2,FALSE)</f>
        <v>Cash and Time deposit</v>
      </c>
      <c r="C1742" s="455" t="str">
        <f t="shared" si="55"/>
        <v>2011201210</v>
      </c>
      <c r="D1742" s="455" t="e">
        <f>VLOOKUP(G1742,Table!$G$3:$H$21,2,FALSE)</f>
        <v>#N/A</v>
      </c>
      <c r="E1742" s="452" t="s">
        <v>840</v>
      </c>
      <c r="F1742" s="452" t="s">
        <v>157</v>
      </c>
      <c r="G1742" s="452" t="s">
        <v>2057</v>
      </c>
      <c r="H1742" s="452" t="s">
        <v>11</v>
      </c>
      <c r="I1742" s="453" t="s">
        <v>842</v>
      </c>
      <c r="J1742" s="453">
        <v>649359.21</v>
      </c>
      <c r="K1742" s="461">
        <v>0</v>
      </c>
      <c r="L1742" s="461">
        <v>60558.54</v>
      </c>
      <c r="M1742" s="461">
        <v>12.79</v>
      </c>
      <c r="N1742" s="461">
        <v>-5537790.96</v>
      </c>
      <c r="O1742" s="461">
        <v>-5537790.96</v>
      </c>
      <c r="P1742" s="461">
        <v>-5537790.96</v>
      </c>
      <c r="Q1742" s="461">
        <v>-5537790.96</v>
      </c>
      <c r="R1742" s="461">
        <v>-5537790.96</v>
      </c>
      <c r="S1742" s="461">
        <v>-5537790.96</v>
      </c>
      <c r="T1742" s="461">
        <v>-5537790.96</v>
      </c>
      <c r="U1742" s="461">
        <v>-5537790.96</v>
      </c>
      <c r="V1742" s="461">
        <v>-5537790.96</v>
      </c>
    </row>
    <row r="1743" spans="1:22" s="455" customFormat="1" hidden="1">
      <c r="A1743" s="455" t="str">
        <f t="shared" si="54"/>
        <v>80002011401200</v>
      </c>
      <c r="B1743" s="455" t="str">
        <f>VLOOKUP(LEFT($C$3:$C$2600,3),Table!$D$2:$E$88,2,FALSE)</f>
        <v>Cash and Time deposit</v>
      </c>
      <c r="C1743" s="455" t="str">
        <f t="shared" si="55"/>
        <v>2011401200</v>
      </c>
      <c r="D1743" s="455" t="e">
        <f>VLOOKUP(G1743,Table!$G$3:$H$21,2,FALSE)</f>
        <v>#N/A</v>
      </c>
      <c r="E1743" s="452" t="s">
        <v>840</v>
      </c>
      <c r="F1743" s="452" t="s">
        <v>157</v>
      </c>
      <c r="G1743" s="452" t="s">
        <v>2058</v>
      </c>
      <c r="H1743" s="452" t="s">
        <v>12</v>
      </c>
      <c r="I1743" s="453" t="s">
        <v>842</v>
      </c>
      <c r="J1743" s="453">
        <v>4922.72</v>
      </c>
      <c r="K1743" s="461">
        <v>4922.72</v>
      </c>
      <c r="L1743" s="461">
        <v>4837.72</v>
      </c>
      <c r="M1743" s="461">
        <v>4787.72</v>
      </c>
      <c r="N1743" s="461">
        <v>4787.72</v>
      </c>
      <c r="O1743" s="461">
        <v>4787.72</v>
      </c>
      <c r="P1743" s="461">
        <v>4787.72</v>
      </c>
      <c r="Q1743" s="461">
        <v>4787.72</v>
      </c>
      <c r="R1743" s="461">
        <v>4787.72</v>
      </c>
      <c r="S1743" s="461">
        <v>4787.72</v>
      </c>
      <c r="T1743" s="461">
        <v>4787.72</v>
      </c>
      <c r="U1743" s="461">
        <v>4787.72</v>
      </c>
      <c r="V1743" s="461">
        <v>4787.72</v>
      </c>
    </row>
    <row r="1744" spans="1:22" s="455" customFormat="1" hidden="1">
      <c r="A1744" s="455" t="str">
        <f t="shared" si="54"/>
        <v>80002011701200</v>
      </c>
      <c r="B1744" s="455" t="str">
        <f>VLOOKUP(LEFT($C$3:$C$2600,3),Table!$D$2:$E$88,2,FALSE)</f>
        <v>Cash and Time deposit</v>
      </c>
      <c r="C1744" s="455" t="str">
        <f t="shared" si="55"/>
        <v>2011701200</v>
      </c>
      <c r="D1744" s="455" t="e">
        <f>VLOOKUP(G1744,Table!$G$3:$H$21,2,FALSE)</f>
        <v>#N/A</v>
      </c>
      <c r="E1744" s="452" t="s">
        <v>840</v>
      </c>
      <c r="F1744" s="452" t="s">
        <v>157</v>
      </c>
      <c r="G1744" s="452" t="s">
        <v>2059</v>
      </c>
      <c r="H1744" s="452" t="s">
        <v>13</v>
      </c>
      <c r="I1744" s="453" t="s">
        <v>842</v>
      </c>
      <c r="J1744" s="453">
        <v>583.83000000000004</v>
      </c>
      <c r="K1744" s="461">
        <v>583.83000000000004</v>
      </c>
      <c r="L1744" s="461">
        <v>533.83000000000004</v>
      </c>
      <c r="M1744" s="461">
        <v>533.83000000000004</v>
      </c>
      <c r="N1744" s="461">
        <v>533.83000000000004</v>
      </c>
      <c r="O1744" s="461">
        <v>533.83000000000004</v>
      </c>
      <c r="P1744" s="461">
        <v>533.83000000000004</v>
      </c>
      <c r="Q1744" s="461">
        <v>533.83000000000004</v>
      </c>
      <c r="R1744" s="461">
        <v>533.83000000000004</v>
      </c>
      <c r="S1744" s="461">
        <v>533.83000000000004</v>
      </c>
      <c r="T1744" s="461">
        <v>533.83000000000004</v>
      </c>
      <c r="U1744" s="461">
        <v>533.83000000000004</v>
      </c>
      <c r="V1744" s="461">
        <v>533.83000000000004</v>
      </c>
    </row>
    <row r="1745" spans="1:22" s="455" customFormat="1" hidden="1">
      <c r="A1745" s="455" t="str">
        <f t="shared" si="54"/>
        <v>80002011801200</v>
      </c>
      <c r="B1745" s="455" t="str">
        <f>VLOOKUP(LEFT($C$3:$C$2600,3),Table!$D$2:$E$88,2,FALSE)</f>
        <v>Cash and Time deposit</v>
      </c>
      <c r="C1745" s="455" t="str">
        <f t="shared" si="55"/>
        <v>2011801200</v>
      </c>
      <c r="D1745" s="455" t="e">
        <f>VLOOKUP(G1745,Table!$G$3:$H$21,2,FALSE)</f>
        <v>#N/A</v>
      </c>
      <c r="E1745" s="452" t="s">
        <v>840</v>
      </c>
      <c r="F1745" s="452" t="s">
        <v>157</v>
      </c>
      <c r="G1745" s="452" t="s">
        <v>2060</v>
      </c>
      <c r="H1745" s="452" t="s">
        <v>836</v>
      </c>
      <c r="I1745" s="453" t="s">
        <v>842</v>
      </c>
      <c r="J1745" s="453">
        <v>24000</v>
      </c>
      <c r="K1745" s="461">
        <v>24163</v>
      </c>
      <c r="L1745" s="461">
        <v>24413</v>
      </c>
      <c r="M1745" s="461">
        <v>24575</v>
      </c>
      <c r="N1745" s="461">
        <v>24575</v>
      </c>
      <c r="O1745" s="461">
        <v>24575</v>
      </c>
      <c r="P1745" s="461">
        <v>24575</v>
      </c>
      <c r="Q1745" s="461">
        <v>24575</v>
      </c>
      <c r="R1745" s="461">
        <v>24575</v>
      </c>
      <c r="S1745" s="461">
        <v>24575</v>
      </c>
      <c r="T1745" s="461">
        <v>24575</v>
      </c>
      <c r="U1745" s="461">
        <v>24575</v>
      </c>
      <c r="V1745" s="461">
        <v>24575</v>
      </c>
    </row>
    <row r="1746" spans="1:22" s="455" customFormat="1" hidden="1">
      <c r="A1746" s="455" t="str">
        <f t="shared" si="54"/>
        <v>80002012000000</v>
      </c>
      <c r="B1746" s="455" t="str">
        <f>VLOOKUP(LEFT($C$3:$C$2600,3),Table!$D$2:$E$88,2,FALSE)</f>
        <v>Cash and Time deposit</v>
      </c>
      <c r="C1746" s="455" t="str">
        <f t="shared" si="55"/>
        <v>2012000000</v>
      </c>
      <c r="D1746" s="455" t="e">
        <f>VLOOKUP(G1746,Table!$G$3:$H$21,2,FALSE)</f>
        <v>#N/A</v>
      </c>
      <c r="E1746" s="452" t="s">
        <v>840</v>
      </c>
      <c r="F1746" s="452" t="s">
        <v>157</v>
      </c>
      <c r="G1746" s="452" t="s">
        <v>2061</v>
      </c>
      <c r="H1746" s="452" t="s">
        <v>14</v>
      </c>
      <c r="I1746" s="453" t="s">
        <v>842</v>
      </c>
      <c r="J1746" s="453">
        <v>4749.2700000000004</v>
      </c>
      <c r="K1746" s="461">
        <v>82697.52</v>
      </c>
      <c r="L1746" s="461">
        <v>48876.97</v>
      </c>
      <c r="M1746" s="461">
        <v>63869.599999999999</v>
      </c>
      <c r="N1746" s="461">
        <v>63869.599999999999</v>
      </c>
      <c r="O1746" s="461">
        <v>63869.599999999999</v>
      </c>
      <c r="P1746" s="461">
        <v>63869.599999999999</v>
      </c>
      <c r="Q1746" s="461">
        <v>63869.599999999999</v>
      </c>
      <c r="R1746" s="461">
        <v>63869.599999999999</v>
      </c>
      <c r="S1746" s="461">
        <v>63869.599999999999</v>
      </c>
      <c r="T1746" s="461">
        <v>63869.599999999999</v>
      </c>
      <c r="U1746" s="461">
        <v>63869.599999999999</v>
      </c>
      <c r="V1746" s="461">
        <v>63869.599999999999</v>
      </c>
    </row>
    <row r="1747" spans="1:22" s="455" customFormat="1" hidden="1">
      <c r="A1747" s="455" t="str">
        <f t="shared" si="54"/>
        <v>80002031201400</v>
      </c>
      <c r="B1747" s="455" t="str">
        <f>VLOOKUP(LEFT($C$3:$C$2600,3),Table!$D$2:$E$88,2,FALSE)</f>
        <v>Accounts payable</v>
      </c>
      <c r="C1747" s="455" t="str">
        <f t="shared" si="55"/>
        <v>2031201400</v>
      </c>
      <c r="D1747" s="455" t="e">
        <f>VLOOKUP(G1747,Table!$G$3:$H$21,2,FALSE)</f>
        <v>#N/A</v>
      </c>
      <c r="E1747" s="452" t="s">
        <v>840</v>
      </c>
      <c r="F1747" s="452" t="s">
        <v>157</v>
      </c>
      <c r="G1747" s="452" t="s">
        <v>2062</v>
      </c>
      <c r="H1747" s="452" t="s">
        <v>90</v>
      </c>
      <c r="I1747" s="453" t="s">
        <v>842</v>
      </c>
      <c r="J1747" s="453">
        <v>-70000</v>
      </c>
      <c r="K1747" s="461">
        <v>-70000</v>
      </c>
      <c r="L1747" s="461">
        <v>-70000</v>
      </c>
      <c r="M1747" s="461">
        <v>-70000</v>
      </c>
      <c r="N1747" s="461">
        <v>-70000</v>
      </c>
      <c r="O1747" s="461">
        <v>-70000</v>
      </c>
      <c r="P1747" s="461">
        <v>-70000</v>
      </c>
      <c r="Q1747" s="461">
        <v>-70000</v>
      </c>
      <c r="R1747" s="461">
        <v>-70000</v>
      </c>
      <c r="S1747" s="461">
        <v>-70000</v>
      </c>
      <c r="T1747" s="461">
        <v>-70000</v>
      </c>
      <c r="U1747" s="461">
        <v>-70000</v>
      </c>
      <c r="V1747" s="461">
        <v>-70000</v>
      </c>
    </row>
    <row r="1748" spans="1:22" s="455" customFormat="1" hidden="1">
      <c r="A1748" s="455" t="str">
        <f t="shared" si="54"/>
        <v>80002031202000</v>
      </c>
      <c r="B1748" s="455" t="str">
        <f>VLOOKUP(LEFT($C$3:$C$2600,3),Table!$D$2:$E$88,2,FALSE)</f>
        <v>Accounts payable</v>
      </c>
      <c r="C1748" s="455" t="str">
        <f t="shared" si="55"/>
        <v>2031202000</v>
      </c>
      <c r="D1748" s="455" t="e">
        <f>VLOOKUP(G1748,Table!$G$3:$H$21,2,FALSE)</f>
        <v>#N/A</v>
      </c>
      <c r="E1748" s="452" t="s">
        <v>840</v>
      </c>
      <c r="F1748" s="452" t="s">
        <v>157</v>
      </c>
      <c r="G1748" s="452" t="s">
        <v>2063</v>
      </c>
      <c r="H1748" s="452" t="s">
        <v>92</v>
      </c>
      <c r="I1748" s="453" t="s">
        <v>842</v>
      </c>
      <c r="J1748" s="453">
        <v>-17040.91</v>
      </c>
      <c r="K1748" s="461">
        <v>-23040.91</v>
      </c>
      <c r="L1748" s="461">
        <v>-23040.91</v>
      </c>
      <c r="M1748" s="461">
        <v>-23040.91</v>
      </c>
      <c r="N1748" s="461">
        <v>-23040.91</v>
      </c>
      <c r="O1748" s="461">
        <v>-23040.91</v>
      </c>
      <c r="P1748" s="461">
        <v>-23040.91</v>
      </c>
      <c r="Q1748" s="461">
        <v>-23040.91</v>
      </c>
      <c r="R1748" s="461">
        <v>-23040.91</v>
      </c>
      <c r="S1748" s="461">
        <v>-23040.91</v>
      </c>
      <c r="T1748" s="461">
        <v>-23040.91</v>
      </c>
      <c r="U1748" s="461">
        <v>-23040.91</v>
      </c>
      <c r="V1748" s="461">
        <v>-23040.91</v>
      </c>
    </row>
    <row r="1749" spans="1:22" s="455" customFormat="1" hidden="1">
      <c r="A1749" s="455" t="str">
        <f t="shared" si="54"/>
        <v>80002031202300</v>
      </c>
      <c r="B1749" s="455" t="str">
        <f>VLOOKUP(LEFT($C$3:$C$2600,3),Table!$D$2:$E$88,2,FALSE)</f>
        <v>Accounts payable</v>
      </c>
      <c r="C1749" s="455" t="str">
        <f t="shared" si="55"/>
        <v>2031202300</v>
      </c>
      <c r="D1749" s="455" t="e">
        <f>VLOOKUP(G1749,Table!$G$3:$H$21,2,FALSE)</f>
        <v>#N/A</v>
      </c>
      <c r="E1749" s="452" t="s">
        <v>840</v>
      </c>
      <c r="F1749" s="452" t="s">
        <v>157</v>
      </c>
      <c r="G1749" s="452" t="s">
        <v>2064</v>
      </c>
      <c r="H1749" s="452" t="s">
        <v>102</v>
      </c>
      <c r="I1749" s="453" t="s">
        <v>842</v>
      </c>
      <c r="J1749" s="453">
        <v>-6274523.5</v>
      </c>
      <c r="K1749" s="461">
        <v>-3976587.25</v>
      </c>
      <c r="L1749" s="461">
        <v>-4741176.97</v>
      </c>
      <c r="M1749" s="461">
        <v>-4496498.9400000004</v>
      </c>
      <c r="N1749" s="461">
        <v>-58628</v>
      </c>
      <c r="O1749" s="461">
        <v>-58628</v>
      </c>
      <c r="P1749" s="461">
        <v>-58628</v>
      </c>
      <c r="Q1749" s="461">
        <v>-58628</v>
      </c>
      <c r="R1749" s="461">
        <v>-58628</v>
      </c>
      <c r="S1749" s="461">
        <v>-58628</v>
      </c>
      <c r="T1749" s="461">
        <v>-58628</v>
      </c>
      <c r="U1749" s="461">
        <v>-58628</v>
      </c>
      <c r="V1749" s="461">
        <v>-58628</v>
      </c>
    </row>
    <row r="1750" spans="1:22" s="455" customFormat="1" hidden="1">
      <c r="A1750" s="455" t="str">
        <f t="shared" si="54"/>
        <v>80002031900000</v>
      </c>
      <c r="B1750" s="455" t="str">
        <f>VLOOKUP(LEFT($C$3:$C$2600,3),Table!$D$2:$E$88,2,FALSE)</f>
        <v>Accounts payable</v>
      </c>
      <c r="C1750" s="455" t="str">
        <f t="shared" si="55"/>
        <v>2031900000</v>
      </c>
      <c r="D1750" s="455" t="e">
        <f>VLOOKUP(G1750,Table!$G$3:$H$21,2,FALSE)</f>
        <v>#N/A</v>
      </c>
      <c r="E1750" s="452" t="s">
        <v>840</v>
      </c>
      <c r="F1750" s="452" t="s">
        <v>157</v>
      </c>
      <c r="G1750" s="452" t="s">
        <v>2065</v>
      </c>
      <c r="H1750" s="452" t="s">
        <v>94</v>
      </c>
      <c r="I1750" s="453" t="s">
        <v>842</v>
      </c>
      <c r="J1750" s="453">
        <v>0</v>
      </c>
      <c r="K1750" s="461">
        <v>-11250</v>
      </c>
      <c r="L1750" s="461">
        <v>-22600</v>
      </c>
      <c r="M1750" s="461">
        <v>-33950</v>
      </c>
      <c r="N1750" s="461">
        <v>-33950</v>
      </c>
      <c r="O1750" s="461">
        <v>-33950</v>
      </c>
      <c r="P1750" s="461">
        <v>-33950</v>
      </c>
      <c r="Q1750" s="461">
        <v>-33950</v>
      </c>
      <c r="R1750" s="461">
        <v>-33950</v>
      </c>
      <c r="S1750" s="461">
        <v>-33950</v>
      </c>
      <c r="T1750" s="461">
        <v>-33950</v>
      </c>
      <c r="U1750" s="461">
        <v>-33950</v>
      </c>
      <c r="V1750" s="461">
        <v>-33950</v>
      </c>
    </row>
    <row r="1751" spans="1:22" s="455" customFormat="1" hidden="1">
      <c r="A1751" s="455" t="str">
        <f t="shared" si="54"/>
        <v>80002042000000</v>
      </c>
      <c r="B1751" s="455" t="str">
        <f>VLOOKUP(LEFT($C$3:$C$2600,3),Table!$D$2:$E$88,2,FALSE)</f>
        <v>Accounts payable</v>
      </c>
      <c r="C1751" s="455" t="str">
        <f t="shared" si="55"/>
        <v>2042000000</v>
      </c>
      <c r="D1751" s="455" t="e">
        <f>VLOOKUP(G1751,Table!$G$3:$H$21,2,FALSE)</f>
        <v>#N/A</v>
      </c>
      <c r="E1751" s="452" t="s">
        <v>840</v>
      </c>
      <c r="F1751" s="452" t="s">
        <v>157</v>
      </c>
      <c r="G1751" s="452" t="s">
        <v>2066</v>
      </c>
      <c r="H1751" s="452" t="s">
        <v>98</v>
      </c>
      <c r="I1751" s="453" t="s">
        <v>842</v>
      </c>
      <c r="J1751" s="453">
        <v>-232726</v>
      </c>
      <c r="K1751" s="461">
        <v>-232726</v>
      </c>
      <c r="L1751" s="461">
        <v>-232726</v>
      </c>
      <c r="M1751" s="461">
        <v>-232726</v>
      </c>
      <c r="N1751" s="461">
        <v>-232726</v>
      </c>
      <c r="O1751" s="461">
        <v>-232726</v>
      </c>
      <c r="P1751" s="461">
        <v>-232726</v>
      </c>
      <c r="Q1751" s="461">
        <v>-232726</v>
      </c>
      <c r="R1751" s="461">
        <v>-232726</v>
      </c>
      <c r="S1751" s="461">
        <v>-232726</v>
      </c>
      <c r="T1751" s="461">
        <v>-232726</v>
      </c>
      <c r="U1751" s="461">
        <v>-232726</v>
      </c>
      <c r="V1751" s="461">
        <v>-232726</v>
      </c>
    </row>
    <row r="1752" spans="1:22" s="455" customFormat="1" hidden="1">
      <c r="A1752" s="455" t="str">
        <f t="shared" si="54"/>
        <v>80002051000000</v>
      </c>
      <c r="B1752" s="455" t="str">
        <f>VLOOKUP(LEFT($C$3:$C$2600,3),Table!$D$2:$E$88,2,FALSE)</f>
        <v>Taxes payable</v>
      </c>
      <c r="C1752" s="455">
        <f t="shared" si="55"/>
        <v>206</v>
      </c>
      <c r="D1752" s="455">
        <f>VLOOKUP(G1752,Table!$G$3:$H$21,2,FALSE)</f>
        <v>206</v>
      </c>
      <c r="E1752" s="452" t="s">
        <v>840</v>
      </c>
      <c r="F1752" s="452" t="s">
        <v>157</v>
      </c>
      <c r="G1752" s="452" t="s">
        <v>2067</v>
      </c>
      <c r="H1752" s="452" t="s">
        <v>186</v>
      </c>
      <c r="I1752" s="453" t="s">
        <v>842</v>
      </c>
      <c r="J1752" s="453">
        <v>-758000</v>
      </c>
      <c r="K1752" s="461">
        <v>-1033000</v>
      </c>
      <c r="L1752" s="461">
        <v>-1098000</v>
      </c>
      <c r="M1752" s="461">
        <v>-1301000</v>
      </c>
      <c r="N1752" s="461">
        <v>-1301000</v>
      </c>
      <c r="O1752" s="461">
        <v>-1301000</v>
      </c>
      <c r="P1752" s="461">
        <v>-1301000</v>
      </c>
      <c r="Q1752" s="461">
        <v>-1301000</v>
      </c>
      <c r="R1752" s="461">
        <v>-1301000</v>
      </c>
      <c r="S1752" s="461">
        <v>-1301000</v>
      </c>
      <c r="T1752" s="461">
        <v>-1301000</v>
      </c>
      <c r="U1752" s="461">
        <v>-1301000</v>
      </c>
      <c r="V1752" s="461">
        <v>-1301000</v>
      </c>
    </row>
    <row r="1753" spans="1:22" s="455" customFormat="1" hidden="1">
      <c r="A1753" s="455" t="str">
        <f t="shared" si="54"/>
        <v>80002051100000</v>
      </c>
      <c r="B1753" s="455" t="str">
        <f>VLOOKUP(LEFT($C$3:$C$2600,3),Table!$D$2:$E$88,2,FALSE)</f>
        <v>Deferred taxation</v>
      </c>
      <c r="C1753" s="455" t="str">
        <f t="shared" si="55"/>
        <v>2051100000</v>
      </c>
      <c r="D1753" s="455" t="e">
        <f>VLOOKUP(G1753,Table!$G$3:$H$21,2,FALSE)</f>
        <v>#N/A</v>
      </c>
      <c r="E1753" s="452" t="s">
        <v>840</v>
      </c>
      <c r="F1753" s="452" t="s">
        <v>157</v>
      </c>
      <c r="G1753" s="452" t="s">
        <v>2068</v>
      </c>
      <c r="H1753" s="452" t="s">
        <v>189</v>
      </c>
      <c r="I1753" s="453" t="s">
        <v>842</v>
      </c>
      <c r="J1753" s="453">
        <v>-4996357.3600000003</v>
      </c>
      <c r="K1753" s="461">
        <v>-4996357.3600000003</v>
      </c>
      <c r="L1753" s="461">
        <v>-4996357.3600000003</v>
      </c>
      <c r="M1753" s="461">
        <v>-4996357.3600000003</v>
      </c>
      <c r="N1753" s="461">
        <v>-4996357.3600000003</v>
      </c>
      <c r="O1753" s="461">
        <v>-4996357.3600000003</v>
      </c>
      <c r="P1753" s="461">
        <v>-4996357.3600000003</v>
      </c>
      <c r="Q1753" s="461">
        <v>-4996357.3600000003</v>
      </c>
      <c r="R1753" s="461">
        <v>-4996357.3600000003</v>
      </c>
      <c r="S1753" s="461">
        <v>-4996357.3600000003</v>
      </c>
      <c r="T1753" s="461">
        <v>-4996357.3600000003</v>
      </c>
      <c r="U1753" s="461">
        <v>-4996357.3600000003</v>
      </c>
      <c r="V1753" s="461">
        <v>-4996357.3600000003</v>
      </c>
    </row>
    <row r="1754" spans="1:22" s="455" customFormat="1" hidden="1">
      <c r="A1754" s="455" t="str">
        <f t="shared" si="54"/>
        <v>80002051100000</v>
      </c>
      <c r="B1754" s="455" t="str">
        <f>VLOOKUP(LEFT($C$3:$C$2600,3),Table!$D$2:$E$88,2,FALSE)</f>
        <v>Deferred taxation</v>
      </c>
      <c r="C1754" s="455" t="str">
        <f t="shared" si="55"/>
        <v>2051100000</v>
      </c>
      <c r="D1754" s="455" t="e">
        <f>VLOOKUP(G1754,Table!$G$3:$H$21,2,FALSE)</f>
        <v>#N/A</v>
      </c>
      <c r="E1754" s="452" t="s">
        <v>840</v>
      </c>
      <c r="F1754" s="452" t="s">
        <v>157</v>
      </c>
      <c r="G1754" s="452" t="s">
        <v>2068</v>
      </c>
      <c r="H1754" s="452" t="s">
        <v>189</v>
      </c>
      <c r="I1754" s="453" t="s">
        <v>844</v>
      </c>
      <c r="J1754" s="453">
        <v>0</v>
      </c>
      <c r="K1754" s="461">
        <v>0</v>
      </c>
      <c r="L1754" s="461">
        <v>0</v>
      </c>
      <c r="M1754" s="461">
        <v>-108000</v>
      </c>
      <c r="N1754" s="461">
        <v>-108000</v>
      </c>
      <c r="O1754" s="461">
        <v>-108000</v>
      </c>
      <c r="P1754" s="461">
        <v>-108000</v>
      </c>
      <c r="Q1754" s="461">
        <v>0</v>
      </c>
      <c r="R1754" s="461">
        <v>0</v>
      </c>
      <c r="S1754" s="461">
        <v>0</v>
      </c>
      <c r="T1754" s="461">
        <v>0</v>
      </c>
      <c r="U1754" s="461">
        <v>0</v>
      </c>
      <c r="V1754" s="461">
        <v>0</v>
      </c>
    </row>
    <row r="1755" spans="1:22" s="455" customFormat="1" hidden="1">
      <c r="A1755" s="455" t="str">
        <f t="shared" si="54"/>
        <v>80002051200000</v>
      </c>
      <c r="B1755" s="455" t="str">
        <f>VLOOKUP(LEFT($C$3:$C$2600,3),Table!$D$2:$E$88,2,FALSE)</f>
        <v>Deferred taxation</v>
      </c>
      <c r="C1755" s="455" t="str">
        <f t="shared" si="55"/>
        <v>2051200000</v>
      </c>
      <c r="D1755" s="455" t="e">
        <f>VLOOKUP(G1755,Table!$G$3:$H$21,2,FALSE)</f>
        <v>#N/A</v>
      </c>
      <c r="E1755" s="452" t="s">
        <v>840</v>
      </c>
      <c r="F1755" s="452" t="s">
        <v>157</v>
      </c>
      <c r="G1755" s="452" t="s">
        <v>2069</v>
      </c>
      <c r="H1755" s="452" t="s">
        <v>190</v>
      </c>
      <c r="I1755" s="453" t="s">
        <v>842</v>
      </c>
      <c r="J1755" s="453">
        <v>-1324703</v>
      </c>
      <c r="K1755" s="461">
        <v>-1324703</v>
      </c>
      <c r="L1755" s="461">
        <v>-1324703</v>
      </c>
      <c r="M1755" s="461">
        <v>-1324703</v>
      </c>
      <c r="N1755" s="461">
        <v>-1324703</v>
      </c>
      <c r="O1755" s="461">
        <v>-1324703</v>
      </c>
      <c r="P1755" s="461">
        <v>-1324703</v>
      </c>
      <c r="Q1755" s="461">
        <v>-1324703</v>
      </c>
      <c r="R1755" s="461">
        <v>-1324703</v>
      </c>
      <c r="S1755" s="461">
        <v>-1324703</v>
      </c>
      <c r="T1755" s="461">
        <v>-1324703</v>
      </c>
      <c r="U1755" s="461">
        <v>-1324703</v>
      </c>
      <c r="V1755" s="461">
        <v>-1324703</v>
      </c>
    </row>
    <row r="1756" spans="1:22" s="455" customFormat="1" hidden="1">
      <c r="A1756" s="455" t="str">
        <f t="shared" si="54"/>
        <v>80002051200000</v>
      </c>
      <c r="B1756" s="455" t="str">
        <f>VLOOKUP(LEFT($C$3:$C$2600,3),Table!$D$2:$E$88,2,FALSE)</f>
        <v>Deferred taxation</v>
      </c>
      <c r="C1756" s="455" t="str">
        <f t="shared" si="55"/>
        <v>2051200000</v>
      </c>
      <c r="D1756" s="455" t="e">
        <f>VLOOKUP(G1756,Table!$G$3:$H$21,2,FALSE)</f>
        <v>#N/A</v>
      </c>
      <c r="E1756" s="452" t="s">
        <v>840</v>
      </c>
      <c r="F1756" s="452" t="s">
        <v>157</v>
      </c>
      <c r="G1756" s="452" t="s">
        <v>2069</v>
      </c>
      <c r="H1756" s="452" t="s">
        <v>190</v>
      </c>
      <c r="I1756" s="453" t="s">
        <v>844</v>
      </c>
      <c r="J1756" s="453">
        <v>0</v>
      </c>
      <c r="K1756" s="461">
        <v>0</v>
      </c>
      <c r="L1756" s="461">
        <v>0</v>
      </c>
      <c r="M1756" s="461">
        <v>3000</v>
      </c>
      <c r="N1756" s="461">
        <v>3000</v>
      </c>
      <c r="O1756" s="461">
        <v>3000</v>
      </c>
      <c r="P1756" s="461">
        <v>3000</v>
      </c>
      <c r="Q1756" s="461">
        <v>0</v>
      </c>
      <c r="R1756" s="461">
        <v>0</v>
      </c>
      <c r="S1756" s="461">
        <v>0</v>
      </c>
      <c r="T1756" s="461">
        <v>0</v>
      </c>
      <c r="U1756" s="461">
        <v>0</v>
      </c>
      <c r="V1756" s="461">
        <v>0</v>
      </c>
    </row>
    <row r="1757" spans="1:22" s="455" customFormat="1" hidden="1">
      <c r="A1757" s="455" t="str">
        <f t="shared" si="54"/>
        <v>80002121600000</v>
      </c>
      <c r="B1757" s="455" t="str">
        <f>VLOOKUP(LEFT($C$3:$C$2600,3),Table!$D$2:$E$88,2,FALSE)</f>
        <v>Net fixed assets</v>
      </c>
      <c r="C1757" s="455" t="str">
        <f t="shared" si="55"/>
        <v>2121600000</v>
      </c>
      <c r="D1757" s="455" t="e">
        <f>VLOOKUP(G1757,Table!$G$3:$H$21,2,FALSE)</f>
        <v>#N/A</v>
      </c>
      <c r="E1757" s="452" t="s">
        <v>840</v>
      </c>
      <c r="F1757" s="452" t="s">
        <v>157</v>
      </c>
      <c r="G1757" s="452" t="s">
        <v>898</v>
      </c>
      <c r="H1757" s="452" t="s">
        <v>46</v>
      </c>
      <c r="I1757" s="453" t="s">
        <v>842</v>
      </c>
      <c r="J1757" s="453">
        <v>-5450</v>
      </c>
      <c r="K1757" s="461">
        <v>-5450</v>
      </c>
      <c r="L1757" s="461">
        <v>-5450</v>
      </c>
      <c r="M1757" s="461">
        <v>-5450</v>
      </c>
      <c r="N1757" s="461">
        <v>-5450</v>
      </c>
      <c r="O1757" s="461">
        <v>-5450</v>
      </c>
      <c r="P1757" s="461">
        <v>-5450</v>
      </c>
      <c r="Q1757" s="461">
        <v>-5450</v>
      </c>
      <c r="R1757" s="461">
        <v>-5450</v>
      </c>
      <c r="S1757" s="461">
        <v>-5450</v>
      </c>
      <c r="T1757" s="461">
        <v>-5450</v>
      </c>
      <c r="U1757" s="461">
        <v>-5450</v>
      </c>
      <c r="V1757" s="461">
        <v>-5450</v>
      </c>
    </row>
    <row r="1758" spans="1:22" s="455" customFormat="1" hidden="1">
      <c r="A1758" s="455" t="str">
        <f t="shared" si="54"/>
        <v>80002121700000</v>
      </c>
      <c r="B1758" s="455" t="str">
        <f>VLOOKUP(LEFT($C$3:$C$2600,3),Table!$D$2:$E$88,2,FALSE)</f>
        <v>Net fixed assets</v>
      </c>
      <c r="C1758" s="455" t="str">
        <f t="shared" si="55"/>
        <v>2121700000</v>
      </c>
      <c r="D1758" s="455" t="e">
        <f>VLOOKUP(G1758,Table!$G$3:$H$21,2,FALSE)</f>
        <v>#N/A</v>
      </c>
      <c r="E1758" s="452" t="s">
        <v>840</v>
      </c>
      <c r="F1758" s="452" t="s">
        <v>157</v>
      </c>
      <c r="G1758" s="452" t="s">
        <v>899</v>
      </c>
      <c r="H1758" s="452" t="s">
        <v>47</v>
      </c>
      <c r="I1758" s="453" t="s">
        <v>842</v>
      </c>
      <c r="J1758" s="453">
        <v>-1358013.37</v>
      </c>
      <c r="K1758" s="461">
        <v>-1358013.37</v>
      </c>
      <c r="L1758" s="461">
        <v>-1358013.37</v>
      </c>
      <c r="M1758" s="461">
        <v>-1358013.37</v>
      </c>
      <c r="N1758" s="461">
        <v>-1358013.37</v>
      </c>
      <c r="O1758" s="461">
        <v>-1358013.37</v>
      </c>
      <c r="P1758" s="461">
        <v>-1358013.37</v>
      </c>
      <c r="Q1758" s="461">
        <v>-1358013.37</v>
      </c>
      <c r="R1758" s="461">
        <v>-1358013.37</v>
      </c>
      <c r="S1758" s="461">
        <v>-1358013.37</v>
      </c>
      <c r="T1758" s="461">
        <v>-1358013.37</v>
      </c>
      <c r="U1758" s="461">
        <v>-1358013.37</v>
      </c>
      <c r="V1758" s="461">
        <v>-1358013.37</v>
      </c>
    </row>
    <row r="1759" spans="1:22" s="455" customFormat="1" hidden="1">
      <c r="A1759" s="455" t="str">
        <f t="shared" si="54"/>
        <v>80002121800000</v>
      </c>
      <c r="B1759" s="455" t="str">
        <f>VLOOKUP(LEFT($C$3:$C$2600,3),Table!$D$2:$E$88,2,FALSE)</f>
        <v>Net fixed assets</v>
      </c>
      <c r="C1759" s="455" t="str">
        <f t="shared" si="55"/>
        <v>2121800000</v>
      </c>
      <c r="D1759" s="455" t="e">
        <f>VLOOKUP(G1759,Table!$G$3:$H$21,2,FALSE)</f>
        <v>#N/A</v>
      </c>
      <c r="E1759" s="452" t="s">
        <v>840</v>
      </c>
      <c r="F1759" s="452" t="s">
        <v>157</v>
      </c>
      <c r="G1759" s="452" t="s">
        <v>900</v>
      </c>
      <c r="H1759" s="452" t="s">
        <v>48</v>
      </c>
      <c r="I1759" s="453" t="s">
        <v>842</v>
      </c>
      <c r="J1759" s="453">
        <v>-981827</v>
      </c>
      <c r="K1759" s="461">
        <v>-981827</v>
      </c>
      <c r="L1759" s="461">
        <v>-981827</v>
      </c>
      <c r="M1759" s="461">
        <v>-981827</v>
      </c>
      <c r="N1759" s="461">
        <v>-981827</v>
      </c>
      <c r="O1759" s="461">
        <v>-981827</v>
      </c>
      <c r="P1759" s="461">
        <v>-981827</v>
      </c>
      <c r="Q1759" s="461">
        <v>-981827</v>
      </c>
      <c r="R1759" s="461">
        <v>-981827</v>
      </c>
      <c r="S1759" s="461">
        <v>-981827</v>
      </c>
      <c r="T1759" s="461">
        <v>-981827</v>
      </c>
      <c r="U1759" s="461">
        <v>-981827</v>
      </c>
      <c r="V1759" s="461">
        <v>-981827</v>
      </c>
    </row>
    <row r="1760" spans="1:22" s="455" customFormat="1" hidden="1">
      <c r="A1760" s="455" t="str">
        <f t="shared" si="54"/>
        <v>80002121900000</v>
      </c>
      <c r="B1760" s="455" t="str">
        <f>VLOOKUP(LEFT($C$3:$C$2600,3),Table!$D$2:$E$88,2,FALSE)</f>
        <v>Net fixed assets</v>
      </c>
      <c r="C1760" s="455" t="str">
        <f t="shared" si="55"/>
        <v>2121900000</v>
      </c>
      <c r="D1760" s="455" t="e">
        <f>VLOOKUP(G1760,Table!$G$3:$H$21,2,FALSE)</f>
        <v>#N/A</v>
      </c>
      <c r="E1760" s="452" t="s">
        <v>840</v>
      </c>
      <c r="F1760" s="452" t="s">
        <v>157</v>
      </c>
      <c r="G1760" s="452" t="s">
        <v>901</v>
      </c>
      <c r="H1760" s="452" t="s">
        <v>49</v>
      </c>
      <c r="I1760" s="453" t="s">
        <v>842</v>
      </c>
      <c r="J1760" s="453">
        <v>-306587.38</v>
      </c>
      <c r="K1760" s="461">
        <v>-306587.38</v>
      </c>
      <c r="L1760" s="461">
        <v>-306587.38</v>
      </c>
      <c r="M1760" s="461">
        <v>-306587.38</v>
      </c>
      <c r="N1760" s="461">
        <v>-306587.38</v>
      </c>
      <c r="O1760" s="461">
        <v>-306587.38</v>
      </c>
      <c r="P1760" s="461">
        <v>-306587.38</v>
      </c>
      <c r="Q1760" s="461">
        <v>-306587.38</v>
      </c>
      <c r="R1760" s="461">
        <v>-306587.38</v>
      </c>
      <c r="S1760" s="461">
        <v>-306587.38</v>
      </c>
      <c r="T1760" s="461">
        <v>-306587.38</v>
      </c>
      <c r="U1760" s="461">
        <v>-306587.38</v>
      </c>
      <c r="V1760" s="461">
        <v>-306587.38</v>
      </c>
    </row>
    <row r="1761" spans="1:22" s="455" customFormat="1" hidden="1">
      <c r="A1761" s="455" t="str">
        <f t="shared" si="54"/>
        <v>80002131101000</v>
      </c>
      <c r="B1761" s="455" t="str">
        <f>VLOOKUP(LEFT($C$3:$C$2600,3),Table!$D$2:$E$88,2,FALSE)</f>
        <v>Net fixed assets</v>
      </c>
      <c r="C1761" s="455" t="str">
        <f t="shared" si="55"/>
        <v>2131101000</v>
      </c>
      <c r="D1761" s="455" t="e">
        <f>VLOOKUP(G1761,Table!$G$3:$H$21,2,FALSE)</f>
        <v>#N/A</v>
      </c>
      <c r="E1761" s="452" t="s">
        <v>840</v>
      </c>
      <c r="F1761" s="452" t="s">
        <v>157</v>
      </c>
      <c r="G1761" s="452" t="s">
        <v>2070</v>
      </c>
      <c r="H1761" s="452" t="s">
        <v>50</v>
      </c>
      <c r="I1761" s="453" t="s">
        <v>842</v>
      </c>
      <c r="J1761" s="453">
        <v>-1898631</v>
      </c>
      <c r="K1761" s="461">
        <v>-1904532</v>
      </c>
      <c r="L1761" s="461">
        <v>-1910433</v>
      </c>
      <c r="M1761" s="461">
        <v>-1916334</v>
      </c>
      <c r="N1761" s="461">
        <v>-1916334</v>
      </c>
      <c r="O1761" s="461">
        <v>-1916334</v>
      </c>
      <c r="P1761" s="461">
        <v>-1916334</v>
      </c>
      <c r="Q1761" s="461">
        <v>-1916334</v>
      </c>
      <c r="R1761" s="461">
        <v>-1916334</v>
      </c>
      <c r="S1761" s="461">
        <v>-1916334</v>
      </c>
      <c r="T1761" s="461">
        <v>-1916334</v>
      </c>
      <c r="U1761" s="461">
        <v>-1916334</v>
      </c>
      <c r="V1761" s="461">
        <v>-1916334</v>
      </c>
    </row>
    <row r="1762" spans="1:22" s="455" customFormat="1" hidden="1">
      <c r="A1762" s="455" t="str">
        <f t="shared" si="54"/>
        <v>80002131201000</v>
      </c>
      <c r="B1762" s="455" t="str">
        <f>VLOOKUP(LEFT($C$3:$C$2600,3),Table!$D$2:$E$88,2,FALSE)</f>
        <v>Net fixed assets</v>
      </c>
      <c r="C1762" s="455" t="str">
        <f t="shared" si="55"/>
        <v>2131201000</v>
      </c>
      <c r="D1762" s="455" t="e">
        <f>VLOOKUP(G1762,Table!$G$3:$H$21,2,FALSE)</f>
        <v>#N/A</v>
      </c>
      <c r="E1762" s="452" t="s">
        <v>840</v>
      </c>
      <c r="F1762" s="452" t="s">
        <v>157</v>
      </c>
      <c r="G1762" s="452" t="s">
        <v>2071</v>
      </c>
      <c r="H1762" s="452" t="s">
        <v>53</v>
      </c>
      <c r="I1762" s="453" t="s">
        <v>842</v>
      </c>
      <c r="J1762" s="453">
        <v>950621</v>
      </c>
      <c r="K1762" s="461">
        <v>952587</v>
      </c>
      <c r="L1762" s="461">
        <v>954553</v>
      </c>
      <c r="M1762" s="461">
        <v>956519</v>
      </c>
      <c r="N1762" s="461">
        <v>956519</v>
      </c>
      <c r="O1762" s="461">
        <v>956519</v>
      </c>
      <c r="P1762" s="461">
        <v>956519</v>
      </c>
      <c r="Q1762" s="461">
        <v>956519</v>
      </c>
      <c r="R1762" s="461">
        <v>956519</v>
      </c>
      <c r="S1762" s="461">
        <v>956519</v>
      </c>
      <c r="T1762" s="461">
        <v>956519</v>
      </c>
      <c r="U1762" s="461">
        <v>956519</v>
      </c>
      <c r="V1762" s="461">
        <v>956519</v>
      </c>
    </row>
    <row r="1763" spans="1:22" s="455" customFormat="1" hidden="1">
      <c r="A1763" s="455" t="str">
        <f t="shared" si="54"/>
        <v>80003000000000</v>
      </c>
      <c r="B1763" s="455" t="str">
        <f>VLOOKUP(LEFT($C$3:$C$2600,3),Table!$D$2:$E$88,2,FALSE)</f>
        <v>Ordinary shares</v>
      </c>
      <c r="C1763" s="455" t="str">
        <f t="shared" si="55"/>
        <v>3000000000</v>
      </c>
      <c r="D1763" s="455" t="e">
        <f>VLOOKUP(G1763,Table!$G$3:$H$21,2,FALSE)</f>
        <v>#N/A</v>
      </c>
      <c r="E1763" s="452" t="s">
        <v>840</v>
      </c>
      <c r="F1763" s="452" t="s">
        <v>157</v>
      </c>
      <c r="G1763" s="452" t="s">
        <v>2072</v>
      </c>
      <c r="H1763" s="452" t="s">
        <v>17</v>
      </c>
      <c r="I1763" s="453" t="s">
        <v>842</v>
      </c>
      <c r="J1763" s="453">
        <v>-134330848</v>
      </c>
      <c r="K1763" s="461">
        <v>-134330848</v>
      </c>
      <c r="L1763" s="461">
        <v>-134330848</v>
      </c>
      <c r="M1763" s="461">
        <v>-134330848</v>
      </c>
      <c r="N1763" s="461">
        <v>-134330848</v>
      </c>
      <c r="O1763" s="461">
        <v>-134330848</v>
      </c>
      <c r="P1763" s="461">
        <v>-134330848</v>
      </c>
      <c r="Q1763" s="461">
        <v>-134330848</v>
      </c>
      <c r="R1763" s="461">
        <v>-134330848</v>
      </c>
      <c r="S1763" s="461">
        <v>-134330848</v>
      </c>
      <c r="T1763" s="461">
        <v>-134330848</v>
      </c>
      <c r="U1763" s="461">
        <v>-134330848</v>
      </c>
      <c r="V1763" s="461">
        <v>-134330848</v>
      </c>
    </row>
    <row r="1764" spans="1:22" s="455" customFormat="1" hidden="1">
      <c r="A1764" s="455" t="str">
        <f t="shared" si="54"/>
        <v>80003020000000</v>
      </c>
      <c r="B1764" s="455" t="str">
        <f>VLOOKUP(LEFT($C$3:$C$2600,3),Table!$D$2:$E$88,2,FALSE)</f>
        <v>Retained earnings</v>
      </c>
      <c r="C1764" s="455" t="str">
        <f t="shared" si="55"/>
        <v>3020000000</v>
      </c>
      <c r="D1764" s="455" t="e">
        <f>VLOOKUP(G1764,Table!$G$3:$H$21,2,FALSE)</f>
        <v>#N/A</v>
      </c>
      <c r="E1764" s="452" t="s">
        <v>840</v>
      </c>
      <c r="F1764" s="452" t="s">
        <v>157</v>
      </c>
      <c r="G1764" s="452" t="s">
        <v>2073</v>
      </c>
      <c r="H1764" s="452" t="s">
        <v>18</v>
      </c>
      <c r="I1764" s="453" t="s">
        <v>842</v>
      </c>
      <c r="J1764" s="453">
        <v>-40146673.460000001</v>
      </c>
      <c r="K1764" s="461">
        <v>-40146673.460000001</v>
      </c>
      <c r="L1764" s="461">
        <v>-40146673.460000001</v>
      </c>
      <c r="M1764" s="461">
        <v>-40146673.460000001</v>
      </c>
      <c r="N1764" s="461">
        <v>-40146673.460000001</v>
      </c>
      <c r="O1764" s="461">
        <v>-40146673.460000001</v>
      </c>
      <c r="P1764" s="461">
        <v>-40146673.460000001</v>
      </c>
      <c r="Q1764" s="461">
        <v>-40146673.460000001</v>
      </c>
      <c r="R1764" s="461">
        <v>-40146673.460000001</v>
      </c>
      <c r="S1764" s="461">
        <v>-40146673.460000001</v>
      </c>
      <c r="T1764" s="461">
        <v>-40146673.460000001</v>
      </c>
      <c r="U1764" s="461">
        <v>-40146673.460000001</v>
      </c>
      <c r="V1764" s="461">
        <v>-40146673.460000001</v>
      </c>
    </row>
    <row r="1765" spans="1:22" s="455" customFormat="1" hidden="1">
      <c r="A1765" s="455" t="str">
        <f t="shared" si="54"/>
        <v>80003030000000</v>
      </c>
      <c r="B1765" s="455" t="str">
        <f>VLOOKUP(LEFT($C$3:$C$2600,3),Table!$D$2:$E$88,2,FALSE)</f>
        <v>Share premium - ordinary</v>
      </c>
      <c r="C1765" s="455" t="str">
        <f t="shared" si="55"/>
        <v>3030000000</v>
      </c>
      <c r="D1765" s="455" t="e">
        <f>VLOOKUP(G1765,Table!$G$3:$H$21,2,FALSE)</f>
        <v>#N/A</v>
      </c>
      <c r="E1765" s="452" t="s">
        <v>840</v>
      </c>
      <c r="F1765" s="452" t="s">
        <v>157</v>
      </c>
      <c r="G1765" s="452" t="s">
        <v>2074</v>
      </c>
      <c r="H1765" s="452" t="s">
        <v>19</v>
      </c>
      <c r="I1765" s="453" t="s">
        <v>842</v>
      </c>
      <c r="J1765" s="453">
        <v>-3967727.2</v>
      </c>
      <c r="K1765" s="461">
        <v>-3967727.2</v>
      </c>
      <c r="L1765" s="461">
        <v>-3967727.2</v>
      </c>
      <c r="M1765" s="461">
        <v>-3967727.2</v>
      </c>
      <c r="N1765" s="461">
        <v>-3967727.2</v>
      </c>
      <c r="O1765" s="461">
        <v>-3967727.2</v>
      </c>
      <c r="P1765" s="461">
        <v>-3967727.2</v>
      </c>
      <c r="Q1765" s="461">
        <v>-3967727.2</v>
      </c>
      <c r="R1765" s="461">
        <v>-3967727.2</v>
      </c>
      <c r="S1765" s="461">
        <v>-3967727.2</v>
      </c>
      <c r="T1765" s="461">
        <v>-3967727.2</v>
      </c>
      <c r="U1765" s="461">
        <v>-3967727.2</v>
      </c>
      <c r="V1765" s="461">
        <v>-3967727.2</v>
      </c>
    </row>
    <row r="1766" spans="1:22" s="455" customFormat="1" hidden="1">
      <c r="A1766" s="455" t="str">
        <f t="shared" si="54"/>
        <v>80003040000000</v>
      </c>
      <c r="B1766" s="455" t="str">
        <f>VLOOKUP(LEFT($C$3:$C$2600,3),Table!$D$2:$E$88,2,FALSE)</f>
        <v>Share premium - ordinary</v>
      </c>
      <c r="C1766" s="455" t="str">
        <f t="shared" si="55"/>
        <v>3040000000</v>
      </c>
      <c r="D1766" s="455" t="e">
        <f>VLOOKUP(G1766,Table!$G$3:$H$21,2,FALSE)</f>
        <v>#N/A</v>
      </c>
      <c r="E1766" s="452" t="s">
        <v>840</v>
      </c>
      <c r="F1766" s="452" t="s">
        <v>157</v>
      </c>
      <c r="G1766" s="452" t="s">
        <v>2075</v>
      </c>
      <c r="H1766" s="452" t="s">
        <v>20</v>
      </c>
      <c r="I1766" s="453" t="s">
        <v>842</v>
      </c>
      <c r="J1766" s="453">
        <v>-145358</v>
      </c>
      <c r="K1766" s="461">
        <v>-145358</v>
      </c>
      <c r="L1766" s="461">
        <v>-145358</v>
      </c>
      <c r="M1766" s="461">
        <v>-145358</v>
      </c>
      <c r="N1766" s="461">
        <v>-145358</v>
      </c>
      <c r="O1766" s="461">
        <v>-145358</v>
      </c>
      <c r="P1766" s="461">
        <v>-145358</v>
      </c>
      <c r="Q1766" s="461">
        <v>-145358</v>
      </c>
      <c r="R1766" s="461">
        <v>-145358</v>
      </c>
      <c r="S1766" s="461">
        <v>-145358</v>
      </c>
      <c r="T1766" s="461">
        <v>-145358</v>
      </c>
      <c r="U1766" s="461">
        <v>-145358</v>
      </c>
      <c r="V1766" s="461">
        <v>-145358</v>
      </c>
    </row>
    <row r="1767" spans="1:22" s="455" customFormat="1" hidden="1">
      <c r="A1767" s="455" t="str">
        <f t="shared" si="54"/>
        <v>80003050000000</v>
      </c>
      <c r="B1767" s="455" t="str">
        <f>VLOOKUP(LEFT($C$3:$C$2600,3),Table!$D$2:$E$88,2,FALSE)</f>
        <v>3rd Party Capital reserves</v>
      </c>
      <c r="C1767" s="455" t="str">
        <f t="shared" si="55"/>
        <v>3050000000</v>
      </c>
      <c r="D1767" s="455" t="e">
        <f>VLOOKUP(G1767,Table!$G$3:$H$21,2,FALSE)</f>
        <v>#N/A</v>
      </c>
      <c r="E1767" s="452" t="s">
        <v>840</v>
      </c>
      <c r="F1767" s="452" t="s">
        <v>157</v>
      </c>
      <c r="G1767" s="452" t="s">
        <v>2076</v>
      </c>
      <c r="H1767" s="452" t="s">
        <v>21</v>
      </c>
      <c r="I1767" s="453" t="s">
        <v>842</v>
      </c>
      <c r="J1767" s="453">
        <v>-4499736</v>
      </c>
      <c r="K1767" s="461">
        <v>-4499736</v>
      </c>
      <c r="L1767" s="461">
        <v>-4499736</v>
      </c>
      <c r="M1767" s="461">
        <v>-4499736</v>
      </c>
      <c r="N1767" s="461">
        <v>-4499736</v>
      </c>
      <c r="O1767" s="461">
        <v>-4499736</v>
      </c>
      <c r="P1767" s="461">
        <v>-4499736</v>
      </c>
      <c r="Q1767" s="461">
        <v>-4499736</v>
      </c>
      <c r="R1767" s="461">
        <v>-4499736</v>
      </c>
      <c r="S1767" s="461">
        <v>-4499736</v>
      </c>
      <c r="T1767" s="461">
        <v>-4499736</v>
      </c>
      <c r="U1767" s="461">
        <v>-4499736</v>
      </c>
      <c r="V1767" s="461">
        <v>-4499736</v>
      </c>
    </row>
    <row r="1768" spans="1:22" s="455" customFormat="1" hidden="1">
      <c r="A1768" s="455" t="str">
        <f t="shared" si="54"/>
        <v>80003051000000</v>
      </c>
      <c r="B1768" s="455" t="str">
        <f>VLOOKUP(LEFT($C$3:$C$2600,3),Table!$D$2:$E$88,2,FALSE)</f>
        <v>3rd Party Capital reserves</v>
      </c>
      <c r="C1768" s="455" t="str">
        <f t="shared" si="55"/>
        <v>3051000000</v>
      </c>
      <c r="D1768" s="455" t="e">
        <f>VLOOKUP(G1768,Table!$G$3:$H$21,2,FALSE)</f>
        <v>#N/A</v>
      </c>
      <c r="E1768" s="452" t="s">
        <v>840</v>
      </c>
      <c r="F1768" s="452" t="s">
        <v>157</v>
      </c>
      <c r="G1768" s="452" t="s">
        <v>2077</v>
      </c>
      <c r="H1768" s="452" t="s">
        <v>22</v>
      </c>
      <c r="I1768" s="453" t="s">
        <v>842</v>
      </c>
      <c r="J1768" s="453">
        <v>-4000000</v>
      </c>
      <c r="K1768" s="461">
        <v>-4000000</v>
      </c>
      <c r="L1768" s="461">
        <v>-4000000</v>
      </c>
      <c r="M1768" s="461">
        <v>-4000000</v>
      </c>
      <c r="N1768" s="461">
        <v>-4000000</v>
      </c>
      <c r="O1768" s="461">
        <v>-4000000</v>
      </c>
      <c r="P1768" s="461">
        <v>-4000000</v>
      </c>
      <c r="Q1768" s="461">
        <v>-4000000</v>
      </c>
      <c r="R1768" s="461">
        <v>-4000000</v>
      </c>
      <c r="S1768" s="461">
        <v>-4000000</v>
      </c>
      <c r="T1768" s="461">
        <v>-4000000</v>
      </c>
      <c r="U1768" s="461">
        <v>-4000000</v>
      </c>
      <c r="V1768" s="461">
        <v>-4000000</v>
      </c>
    </row>
    <row r="1769" spans="1:22" s="455" customFormat="1" hidden="1">
      <c r="A1769" s="455" t="str">
        <f t="shared" si="54"/>
        <v>80003052000000</v>
      </c>
      <c r="B1769" s="455" t="str">
        <f>VLOOKUP(LEFT($C$3:$C$2600,3),Table!$D$2:$E$88,2,FALSE)</f>
        <v>Treasury shares</v>
      </c>
      <c r="C1769" s="455" t="str">
        <f t="shared" si="55"/>
        <v>002</v>
      </c>
      <c r="D1769" s="455" t="str">
        <f>VLOOKUP(G1769,Table!$G$3:$H$21,2,FALSE)</f>
        <v>002</v>
      </c>
      <c r="E1769" s="452" t="s">
        <v>840</v>
      </c>
      <c r="F1769" s="452" t="s">
        <v>157</v>
      </c>
      <c r="G1769" s="452" t="s">
        <v>2078</v>
      </c>
      <c r="H1769" s="452" t="s">
        <v>23</v>
      </c>
      <c r="I1769" s="453" t="s">
        <v>842</v>
      </c>
      <c r="J1769" s="453">
        <v>2330493.7599999998</v>
      </c>
      <c r="K1769" s="461">
        <v>2330493.7599999998</v>
      </c>
      <c r="L1769" s="461">
        <v>2330493.7599999998</v>
      </c>
      <c r="M1769" s="461">
        <v>2330493.7599999998</v>
      </c>
      <c r="N1769" s="461">
        <v>2330493.7599999998</v>
      </c>
      <c r="O1769" s="461">
        <v>2330493.7599999998</v>
      </c>
      <c r="P1769" s="461">
        <v>2330493.7599999998</v>
      </c>
      <c r="Q1769" s="461">
        <v>2330493.7599999998</v>
      </c>
      <c r="R1769" s="461">
        <v>2330493.7599999998</v>
      </c>
      <c r="S1769" s="461">
        <v>2330493.7599999998</v>
      </c>
      <c r="T1769" s="461">
        <v>2330493.7599999998</v>
      </c>
      <c r="U1769" s="461">
        <v>2330493.7599999998</v>
      </c>
      <c r="V1769" s="461">
        <v>2330493.7599999998</v>
      </c>
    </row>
    <row r="1770" spans="1:22" s="455" customFormat="1" hidden="1">
      <c r="A1770" s="455" t="str">
        <f t="shared" si="54"/>
        <v>80005401001100</v>
      </c>
      <c r="B1770" s="455" t="str">
        <f>VLOOKUP(LEFT($C$3:$C$2600,3),Table!$D$2:$E$88,2,FALSE)</f>
        <v>Interest income</v>
      </c>
      <c r="C1770" s="455">
        <f t="shared" si="55"/>
        <v>542</v>
      </c>
      <c r="D1770" s="455">
        <f>VLOOKUP(G1770,Table!$G$3:$H$21,2,FALSE)</f>
        <v>542</v>
      </c>
      <c r="E1770" s="452" t="s">
        <v>902</v>
      </c>
      <c r="F1770" s="452" t="s">
        <v>157</v>
      </c>
      <c r="G1770" s="452" t="s">
        <v>2081</v>
      </c>
      <c r="H1770" s="452" t="s">
        <v>2082</v>
      </c>
      <c r="I1770" s="453" t="s">
        <v>844</v>
      </c>
      <c r="J1770" s="453">
        <v>-110349.82</v>
      </c>
      <c r="K1770" s="461">
        <v>-37432.959999999999</v>
      </c>
      <c r="L1770" s="461">
        <v>-47027.92</v>
      </c>
      <c r="M1770" s="461">
        <v>-26867.59</v>
      </c>
      <c r="N1770" s="461">
        <v>0</v>
      </c>
      <c r="O1770" s="461">
        <v>0</v>
      </c>
      <c r="P1770" s="461">
        <v>0</v>
      </c>
      <c r="Q1770" s="461">
        <v>0</v>
      </c>
      <c r="R1770" s="461">
        <v>0</v>
      </c>
      <c r="S1770" s="461">
        <v>0</v>
      </c>
      <c r="T1770" s="461">
        <v>0</v>
      </c>
      <c r="U1770" s="461">
        <v>0</v>
      </c>
      <c r="V1770" s="461">
        <v>0</v>
      </c>
    </row>
    <row r="1771" spans="1:22" s="455" customFormat="1" hidden="1">
      <c r="A1771" s="455" t="str">
        <f t="shared" si="54"/>
        <v>80005401001311</v>
      </c>
      <c r="B1771" s="455" t="str">
        <f>VLOOKUP(LEFT($C$3:$C$2600,3),Table!$D$2:$E$88,2,FALSE)</f>
        <v>Exchange gains/(losses)</v>
      </c>
      <c r="C1771" s="455" t="str">
        <f t="shared" si="55"/>
        <v>5401001311</v>
      </c>
      <c r="D1771" s="455" t="e">
        <f>VLOOKUP(G1771,Table!$G$3:$H$21,2,FALSE)</f>
        <v>#N/A</v>
      </c>
      <c r="E1771" s="452" t="s">
        <v>902</v>
      </c>
      <c r="F1771" s="452" t="s">
        <v>157</v>
      </c>
      <c r="G1771" s="452" t="s">
        <v>2086</v>
      </c>
      <c r="H1771" s="452" t="s">
        <v>2087</v>
      </c>
      <c r="I1771" s="453" t="s">
        <v>844</v>
      </c>
      <c r="J1771" s="453">
        <v>0.01</v>
      </c>
      <c r="K1771" s="461">
        <v>0.01</v>
      </c>
      <c r="L1771" s="461">
        <v>0</v>
      </c>
      <c r="M1771" s="461">
        <v>0</v>
      </c>
      <c r="N1771" s="461">
        <v>0</v>
      </c>
      <c r="O1771" s="461">
        <v>0</v>
      </c>
      <c r="P1771" s="461">
        <v>0</v>
      </c>
      <c r="Q1771" s="461">
        <v>0</v>
      </c>
      <c r="R1771" s="461">
        <v>0</v>
      </c>
      <c r="S1771" s="461">
        <v>0</v>
      </c>
      <c r="T1771" s="461">
        <v>0</v>
      </c>
      <c r="U1771" s="461">
        <v>0</v>
      </c>
      <c r="V1771" s="461">
        <v>0</v>
      </c>
    </row>
    <row r="1772" spans="1:22" s="455" customFormat="1" hidden="1">
      <c r="A1772" s="455" t="str">
        <f t="shared" si="54"/>
        <v>80005401101000</v>
      </c>
      <c r="B1772" s="455" t="str">
        <f>VLOOKUP(LEFT($C$3:$C$2600,3),Table!$D$2:$E$88,2,FALSE)</f>
        <v>Interest expense</v>
      </c>
      <c r="C1772" s="455">
        <f t="shared" si="55"/>
        <v>543</v>
      </c>
      <c r="D1772" s="455">
        <f>VLOOKUP(G1772,Table!$G$3:$H$21,2,FALSE)</f>
        <v>543</v>
      </c>
      <c r="E1772" s="452" t="s">
        <v>902</v>
      </c>
      <c r="F1772" s="452" t="s">
        <v>157</v>
      </c>
      <c r="G1772" s="452" t="s">
        <v>2088</v>
      </c>
      <c r="H1772" s="452" t="s">
        <v>2089</v>
      </c>
      <c r="I1772" s="453" t="s">
        <v>844</v>
      </c>
      <c r="J1772" s="453">
        <v>4986.3100000000004</v>
      </c>
      <c r="K1772" s="461">
        <v>1643.84</v>
      </c>
      <c r="L1772" s="461">
        <v>1698.63</v>
      </c>
      <c r="M1772" s="461">
        <v>1643.84</v>
      </c>
      <c r="N1772" s="461">
        <v>0</v>
      </c>
      <c r="O1772" s="461">
        <v>0</v>
      </c>
      <c r="P1772" s="461">
        <v>0</v>
      </c>
      <c r="Q1772" s="461">
        <v>0</v>
      </c>
      <c r="R1772" s="461">
        <v>0</v>
      </c>
      <c r="S1772" s="461">
        <v>0</v>
      </c>
      <c r="T1772" s="461">
        <v>0</v>
      </c>
      <c r="U1772" s="461">
        <v>0</v>
      </c>
      <c r="V1772" s="461">
        <v>0</v>
      </c>
    </row>
    <row r="1773" spans="1:22" s="455" customFormat="1" hidden="1">
      <c r="A1773" s="455" t="str">
        <f t="shared" si="54"/>
        <v>80005401201020</v>
      </c>
      <c r="B1773" s="455" t="str">
        <f>VLOOKUP(LEFT($C$3:$C$2600,3),Table!$D$2:$E$88,2,FALSE)</f>
        <v>Exchange gains/(losses)</v>
      </c>
      <c r="C1773" s="455" t="str">
        <f t="shared" si="55"/>
        <v>5401201020</v>
      </c>
      <c r="D1773" s="455" t="e">
        <f>VLOOKUP(G1773,Table!$G$3:$H$21,2,FALSE)</f>
        <v>#N/A</v>
      </c>
      <c r="E1773" s="452" t="s">
        <v>902</v>
      </c>
      <c r="F1773" s="452" t="s">
        <v>157</v>
      </c>
      <c r="G1773" s="452" t="s">
        <v>2090</v>
      </c>
      <c r="H1773" s="452" t="s">
        <v>2091</v>
      </c>
      <c r="I1773" s="453" t="s">
        <v>844</v>
      </c>
      <c r="J1773" s="453">
        <v>9409.02</v>
      </c>
      <c r="K1773" s="461">
        <v>-41670.97</v>
      </c>
      <c r="L1773" s="461">
        <v>-15344.81</v>
      </c>
      <c r="M1773" s="461">
        <v>4068.36</v>
      </c>
      <c r="N1773" s="461">
        <v>0</v>
      </c>
      <c r="O1773" s="461">
        <v>0</v>
      </c>
      <c r="P1773" s="461">
        <v>0</v>
      </c>
      <c r="Q1773" s="461">
        <v>0</v>
      </c>
      <c r="R1773" s="461">
        <v>0</v>
      </c>
      <c r="S1773" s="461">
        <v>0</v>
      </c>
      <c r="T1773" s="461">
        <v>0</v>
      </c>
      <c r="U1773" s="461">
        <v>0</v>
      </c>
      <c r="V1773" s="461">
        <v>0</v>
      </c>
    </row>
    <row r="1774" spans="1:22" s="455" customFormat="1" hidden="1">
      <c r="A1774" s="455" t="str">
        <f t="shared" si="54"/>
        <v>80005401201021</v>
      </c>
      <c r="B1774" s="455" t="str">
        <f>VLOOKUP(LEFT($C$3:$C$2600,3),Table!$D$2:$E$88,2,FALSE)</f>
        <v>Exchange gains/(losses)</v>
      </c>
      <c r="C1774" s="455" t="str">
        <f t="shared" si="55"/>
        <v>5401201021</v>
      </c>
      <c r="D1774" s="455" t="e">
        <f>VLOOKUP(G1774,Table!$G$3:$H$21,2,FALSE)</f>
        <v>#N/A</v>
      </c>
      <c r="E1774" s="452" t="s">
        <v>902</v>
      </c>
      <c r="F1774" s="452" t="s">
        <v>157</v>
      </c>
      <c r="G1774" s="452" t="s">
        <v>2092</v>
      </c>
      <c r="H1774" s="452" t="s">
        <v>2093</v>
      </c>
      <c r="I1774" s="453" t="s">
        <v>844</v>
      </c>
      <c r="J1774" s="453">
        <v>-61366.53</v>
      </c>
      <c r="K1774" s="461">
        <v>110100.36</v>
      </c>
      <c r="L1774" s="461">
        <v>-137776.62</v>
      </c>
      <c r="M1774" s="461">
        <v>-30427.16</v>
      </c>
      <c r="N1774" s="461">
        <v>0</v>
      </c>
      <c r="O1774" s="461">
        <v>0</v>
      </c>
      <c r="P1774" s="461">
        <v>0</v>
      </c>
      <c r="Q1774" s="461">
        <v>0</v>
      </c>
      <c r="R1774" s="461">
        <v>0</v>
      </c>
      <c r="S1774" s="461">
        <v>0</v>
      </c>
      <c r="T1774" s="461">
        <v>0</v>
      </c>
      <c r="U1774" s="461">
        <v>0</v>
      </c>
      <c r="V1774" s="461">
        <v>0</v>
      </c>
    </row>
    <row r="1775" spans="1:22" s="455" customFormat="1" hidden="1">
      <c r="A1775" s="455" t="str">
        <f t="shared" si="54"/>
        <v>80005401201110</v>
      </c>
      <c r="B1775" s="455" t="str">
        <f>VLOOKUP(LEFT($C$3:$C$2600,3),Table!$D$2:$E$88,2,FALSE)</f>
        <v>Exchange gains/(losses)</v>
      </c>
      <c r="C1775" s="455" t="str">
        <f t="shared" si="55"/>
        <v>5401201110</v>
      </c>
      <c r="D1775" s="455" t="e">
        <f>VLOOKUP(G1775,Table!$G$3:$H$21,2,FALSE)</f>
        <v>#N/A</v>
      </c>
      <c r="E1775" s="452" t="s">
        <v>902</v>
      </c>
      <c r="F1775" s="452" t="s">
        <v>157</v>
      </c>
      <c r="G1775" s="452" t="s">
        <v>2094</v>
      </c>
      <c r="H1775" s="452" t="s">
        <v>2095</v>
      </c>
      <c r="I1775" s="453" t="s">
        <v>844</v>
      </c>
      <c r="J1775" s="453">
        <v>-329712.55</v>
      </c>
      <c r="K1775" s="461">
        <v>-80724.31</v>
      </c>
      <c r="L1775" s="461">
        <v>-94210.18</v>
      </c>
      <c r="M1775" s="461">
        <v>-102682.46</v>
      </c>
      <c r="N1775" s="461">
        <v>0</v>
      </c>
      <c r="O1775" s="461">
        <v>0</v>
      </c>
      <c r="P1775" s="461">
        <v>0</v>
      </c>
      <c r="Q1775" s="461">
        <v>0</v>
      </c>
      <c r="R1775" s="461">
        <v>0</v>
      </c>
      <c r="S1775" s="461">
        <v>0</v>
      </c>
      <c r="T1775" s="461">
        <v>0</v>
      </c>
      <c r="U1775" s="461">
        <v>0</v>
      </c>
      <c r="V1775" s="461">
        <v>0</v>
      </c>
    </row>
    <row r="1776" spans="1:22" s="455" customFormat="1" hidden="1">
      <c r="A1776" s="455" t="str">
        <f t="shared" si="54"/>
        <v>80005401201111</v>
      </c>
      <c r="B1776" s="455" t="str">
        <f>VLOOKUP(LEFT($C$3:$C$2600,3),Table!$D$2:$E$88,2,FALSE)</f>
        <v>Exchange gains/(losses)</v>
      </c>
      <c r="C1776" s="455" t="str">
        <f t="shared" si="55"/>
        <v>5401201111</v>
      </c>
      <c r="D1776" s="455" t="e">
        <f>VLOOKUP(G1776,Table!$G$3:$H$21,2,FALSE)</f>
        <v>#N/A</v>
      </c>
      <c r="E1776" s="452" t="s">
        <v>902</v>
      </c>
      <c r="F1776" s="452" t="s">
        <v>157</v>
      </c>
      <c r="G1776" s="452" t="s">
        <v>2096</v>
      </c>
      <c r="H1776" s="452" t="s">
        <v>2097</v>
      </c>
      <c r="I1776" s="453" t="s">
        <v>844</v>
      </c>
      <c r="J1776" s="453">
        <v>263767.8</v>
      </c>
      <c r="K1776" s="461">
        <v>52227.26</v>
      </c>
      <c r="L1776" s="461">
        <v>176581.99</v>
      </c>
      <c r="M1776" s="461">
        <v>34466.480000000003</v>
      </c>
      <c r="N1776" s="461">
        <v>0</v>
      </c>
      <c r="O1776" s="461">
        <v>0</v>
      </c>
      <c r="P1776" s="461">
        <v>0</v>
      </c>
      <c r="Q1776" s="461">
        <v>0</v>
      </c>
      <c r="R1776" s="461">
        <v>0</v>
      </c>
      <c r="S1776" s="461">
        <v>0</v>
      </c>
      <c r="T1776" s="461">
        <v>0</v>
      </c>
      <c r="U1776" s="461">
        <v>0</v>
      </c>
      <c r="V1776" s="461">
        <v>0</v>
      </c>
    </row>
    <row r="1777" spans="1:22" s="455" customFormat="1" hidden="1">
      <c r="A1777" s="455" t="str">
        <f t="shared" si="54"/>
        <v>80005401201300</v>
      </c>
      <c r="B1777" s="455" t="str">
        <f>VLOOKUP(LEFT($C$3:$C$2600,3),Table!$D$2:$E$88,2,FALSE)</f>
        <v>Exchange gains/(losses)</v>
      </c>
      <c r="C1777" s="455" t="str">
        <f t="shared" si="55"/>
        <v>5401201300</v>
      </c>
      <c r="D1777" s="455" t="e">
        <f>VLOOKUP(G1777,Table!$G$3:$H$21,2,FALSE)</f>
        <v>#N/A</v>
      </c>
      <c r="E1777" s="452" t="s">
        <v>902</v>
      </c>
      <c r="F1777" s="452" t="s">
        <v>157</v>
      </c>
      <c r="G1777" s="452" t="s">
        <v>2098</v>
      </c>
      <c r="H1777" s="452" t="s">
        <v>2099</v>
      </c>
      <c r="I1777" s="453" t="s">
        <v>844</v>
      </c>
      <c r="J1777" s="453">
        <v>65680</v>
      </c>
      <c r="K1777" s="461">
        <v>-149693</v>
      </c>
      <c r="L1777" s="461">
        <v>211287</v>
      </c>
      <c r="M1777" s="461">
        <v>66914</v>
      </c>
      <c r="N1777" s="461">
        <v>0</v>
      </c>
      <c r="O1777" s="461">
        <v>0</v>
      </c>
      <c r="P1777" s="461">
        <v>0</v>
      </c>
      <c r="Q1777" s="461">
        <v>0</v>
      </c>
      <c r="R1777" s="461">
        <v>0</v>
      </c>
      <c r="S1777" s="461">
        <v>0</v>
      </c>
      <c r="T1777" s="461">
        <v>0</v>
      </c>
      <c r="U1777" s="461">
        <v>0</v>
      </c>
      <c r="V1777" s="461">
        <v>0</v>
      </c>
    </row>
    <row r="1778" spans="1:22" s="455" customFormat="1" hidden="1">
      <c r="A1778" s="455" t="str">
        <f t="shared" si="54"/>
        <v>80006001000000</v>
      </c>
      <c r="B1778" s="455" t="str">
        <f>VLOOKUP(LEFT($C$3:$C$2600,3),Table!$D$2:$E$88,2,FALSE)</f>
        <v xml:space="preserve"> Income taxes</v>
      </c>
      <c r="C1778" s="455" t="str">
        <f t="shared" si="55"/>
        <v>6001000000</v>
      </c>
      <c r="D1778" s="455" t="e">
        <f>VLOOKUP(G1778,Table!$G$3:$H$21,2,FALSE)</f>
        <v>#N/A</v>
      </c>
      <c r="E1778" s="452" t="s">
        <v>902</v>
      </c>
      <c r="F1778" s="452" t="s">
        <v>157</v>
      </c>
      <c r="G1778" s="452" t="s">
        <v>2100</v>
      </c>
      <c r="H1778" s="452" t="s">
        <v>2101</v>
      </c>
      <c r="I1778" s="453" t="s">
        <v>844</v>
      </c>
      <c r="J1778" s="453">
        <v>1128000</v>
      </c>
      <c r="K1778" s="461">
        <v>435000</v>
      </c>
      <c r="L1778" s="461">
        <v>225000</v>
      </c>
      <c r="M1778" s="461">
        <v>468000</v>
      </c>
      <c r="N1778" s="461">
        <v>0</v>
      </c>
      <c r="O1778" s="461">
        <v>0</v>
      </c>
      <c r="P1778" s="461">
        <v>0</v>
      </c>
      <c r="Q1778" s="461">
        <v>0</v>
      </c>
      <c r="R1778" s="461">
        <v>0</v>
      </c>
      <c r="S1778" s="461">
        <v>0</v>
      </c>
      <c r="T1778" s="461">
        <v>0</v>
      </c>
      <c r="U1778" s="461">
        <v>0</v>
      </c>
      <c r="V1778" s="461">
        <v>0</v>
      </c>
    </row>
    <row r="1779" spans="1:22" s="455" customFormat="1" hidden="1">
      <c r="A1779" s="455" t="str">
        <f t="shared" si="54"/>
        <v>T</v>
      </c>
      <c r="B1779" s="455">
        <f>VLOOKUP(LEFT($C$3:$C$2600,3),Table!$D$2:$E$88,2,FALSE)</f>
        <v>0</v>
      </c>
      <c r="C1779" s="455" t="str">
        <f t="shared" si="55"/>
        <v>T</v>
      </c>
      <c r="D1779" s="455" t="e">
        <f>VLOOKUP(G1779,Table!$G$3:$H$21,2,FALSE)</f>
        <v>#N/A</v>
      </c>
      <c r="E1779" s="452"/>
      <c r="F1779" s="452"/>
      <c r="G1779" s="452" t="s">
        <v>844</v>
      </c>
      <c r="H1779" s="452"/>
      <c r="I1779" s="453" t="s">
        <v>844</v>
      </c>
      <c r="J1779" s="453"/>
      <c r="K1779" s="461"/>
      <c r="L1779" s="461"/>
      <c r="M1779" s="461"/>
      <c r="N1779" s="461"/>
      <c r="O1779" s="461"/>
      <c r="P1779" s="461"/>
      <c r="Q1779" s="461"/>
      <c r="R1779" s="461"/>
      <c r="S1779" s="461"/>
      <c r="T1779" s="461"/>
      <c r="U1779" s="461"/>
      <c r="V1779" s="461"/>
    </row>
    <row r="1780" spans="1:22" s="455" customFormat="1" hidden="1">
      <c r="A1780" s="455" t="str">
        <f t="shared" si="54"/>
        <v>T</v>
      </c>
      <c r="B1780" s="455">
        <f>VLOOKUP(LEFT($C$3:$C$2600,3),Table!$D$2:$E$88,2,FALSE)</f>
        <v>0</v>
      </c>
      <c r="C1780" s="455" t="str">
        <f t="shared" si="55"/>
        <v>T</v>
      </c>
      <c r="D1780" s="455" t="e">
        <f>VLOOKUP(G1780,Table!$G$3:$H$21,2,FALSE)</f>
        <v>#N/A</v>
      </c>
      <c r="E1780" s="452"/>
      <c r="F1780" s="452"/>
      <c r="G1780" s="452" t="s">
        <v>844</v>
      </c>
      <c r="H1780" s="452"/>
      <c r="I1780" s="453" t="s">
        <v>844</v>
      </c>
      <c r="J1780" s="453"/>
      <c r="K1780" s="461"/>
      <c r="L1780" s="461"/>
      <c r="M1780" s="461"/>
      <c r="N1780" s="461"/>
      <c r="O1780" s="461"/>
      <c r="P1780" s="461"/>
      <c r="Q1780" s="461"/>
      <c r="R1780" s="461"/>
      <c r="S1780" s="461"/>
      <c r="T1780" s="461"/>
      <c r="U1780" s="461"/>
      <c r="V1780" s="461"/>
    </row>
    <row r="1781" spans="1:22" s="455" customFormat="1" hidden="1">
      <c r="A1781" s="455" t="str">
        <f t="shared" si="54"/>
        <v>T</v>
      </c>
      <c r="B1781" s="455">
        <f>VLOOKUP(LEFT($C$3:$C$2600,3),Table!$D$2:$E$88,2,FALSE)</f>
        <v>0</v>
      </c>
      <c r="C1781" s="455" t="str">
        <f t="shared" si="55"/>
        <v>T</v>
      </c>
      <c r="D1781" s="455" t="e">
        <f>VLOOKUP(G1781,Table!$G$3:$H$21,2,FALSE)</f>
        <v>#N/A</v>
      </c>
      <c r="E1781" s="452"/>
      <c r="F1781" s="452"/>
      <c r="G1781" s="452" t="s">
        <v>844</v>
      </c>
      <c r="H1781" s="452"/>
      <c r="I1781" s="453" t="s">
        <v>844</v>
      </c>
      <c r="J1781" s="453"/>
      <c r="K1781" s="461"/>
      <c r="L1781" s="461"/>
      <c r="M1781" s="461"/>
      <c r="N1781" s="461"/>
      <c r="O1781" s="461"/>
      <c r="P1781" s="461"/>
      <c r="Q1781" s="461"/>
      <c r="R1781" s="461"/>
      <c r="S1781" s="461"/>
      <c r="T1781" s="461"/>
      <c r="U1781" s="461"/>
      <c r="V1781" s="461"/>
    </row>
    <row r="1782" spans="1:22" s="455" customFormat="1" hidden="1">
      <c r="A1782" s="455" t="str">
        <f t="shared" si="54"/>
        <v>T</v>
      </c>
      <c r="B1782" s="455">
        <f>VLOOKUP(LEFT($C$3:$C$2600,3),Table!$D$2:$E$88,2,FALSE)</f>
        <v>0</v>
      </c>
      <c r="C1782" s="455" t="str">
        <f t="shared" si="55"/>
        <v>T</v>
      </c>
      <c r="D1782" s="455" t="e">
        <f>VLOOKUP(G1782,Table!$G$3:$H$21,2,FALSE)</f>
        <v>#N/A</v>
      </c>
      <c r="E1782" s="452"/>
      <c r="F1782" s="452"/>
      <c r="G1782" s="452" t="s">
        <v>844</v>
      </c>
      <c r="H1782" s="452"/>
      <c r="I1782" s="453" t="s">
        <v>844</v>
      </c>
      <c r="J1782" s="453"/>
      <c r="K1782" s="461"/>
      <c r="L1782" s="461"/>
      <c r="M1782" s="461"/>
      <c r="N1782" s="461"/>
      <c r="O1782" s="461"/>
      <c r="P1782" s="461"/>
      <c r="Q1782" s="461"/>
      <c r="R1782" s="461"/>
      <c r="S1782" s="461"/>
      <c r="T1782" s="461"/>
      <c r="U1782" s="461"/>
      <c r="V1782" s="461"/>
    </row>
    <row r="1783" spans="1:22" s="455" customFormat="1" hidden="1">
      <c r="A1783" s="455" t="str">
        <f t="shared" si="54"/>
        <v>T</v>
      </c>
      <c r="B1783" s="455">
        <f>VLOOKUP(LEFT($C$3:$C$2600,3),Table!$D$2:$E$88,2,FALSE)</f>
        <v>0</v>
      </c>
      <c r="C1783" s="455" t="str">
        <f t="shared" si="55"/>
        <v>T</v>
      </c>
      <c r="D1783" s="455" t="e">
        <f>VLOOKUP(G1783,Table!$G$3:$H$21,2,FALSE)</f>
        <v>#N/A</v>
      </c>
      <c r="E1783" s="452"/>
      <c r="F1783" s="452"/>
      <c r="G1783" s="452" t="s">
        <v>844</v>
      </c>
      <c r="H1783" s="452"/>
      <c r="I1783" s="453" t="s">
        <v>844</v>
      </c>
      <c r="J1783" s="453"/>
      <c r="K1783" s="461"/>
      <c r="L1783" s="461"/>
      <c r="M1783" s="461"/>
      <c r="N1783" s="461"/>
      <c r="O1783" s="461"/>
      <c r="P1783" s="461"/>
      <c r="Q1783" s="461"/>
      <c r="R1783" s="461"/>
      <c r="S1783" s="461"/>
      <c r="T1783" s="461"/>
      <c r="U1783" s="461"/>
      <c r="V1783" s="461"/>
    </row>
    <row r="1784" spans="1:22" s="455" customFormat="1" hidden="1">
      <c r="A1784" s="455" t="str">
        <f t="shared" si="54"/>
        <v>T</v>
      </c>
      <c r="B1784" s="455">
        <f>VLOOKUP(LEFT($C$3:$C$2600,3),Table!$D$2:$E$88,2,FALSE)</f>
        <v>0</v>
      </c>
      <c r="C1784" s="455" t="str">
        <f t="shared" si="55"/>
        <v>T</v>
      </c>
      <c r="D1784" s="455" t="e">
        <f>VLOOKUP(G1784,Table!$G$3:$H$21,2,FALSE)</f>
        <v>#N/A</v>
      </c>
      <c r="E1784" s="452"/>
      <c r="F1784" s="452"/>
      <c r="G1784" s="452" t="s">
        <v>844</v>
      </c>
      <c r="H1784" s="452"/>
      <c r="I1784" s="453" t="s">
        <v>844</v>
      </c>
      <c r="J1784" s="453"/>
      <c r="K1784" s="461"/>
      <c r="L1784" s="461"/>
      <c r="M1784" s="461"/>
      <c r="N1784" s="461"/>
      <c r="O1784" s="461"/>
      <c r="P1784" s="461"/>
      <c r="Q1784" s="461"/>
      <c r="R1784" s="461"/>
      <c r="S1784" s="461"/>
      <c r="T1784" s="461"/>
      <c r="U1784" s="461"/>
      <c r="V1784" s="461"/>
    </row>
    <row r="1785" spans="1:22" s="455" customFormat="1" hidden="1">
      <c r="A1785" s="455" t="str">
        <f t="shared" si="54"/>
        <v>T</v>
      </c>
      <c r="B1785" s="455">
        <f>VLOOKUP(LEFT($C$3:$C$2600,3),Table!$D$2:$E$88,2,FALSE)</f>
        <v>0</v>
      </c>
      <c r="C1785" s="455" t="str">
        <f t="shared" si="55"/>
        <v>T</v>
      </c>
      <c r="D1785" s="455" t="e">
        <f>VLOOKUP(G1785,Table!$G$3:$H$21,2,FALSE)</f>
        <v>#N/A</v>
      </c>
      <c r="E1785" s="452"/>
      <c r="F1785" s="452"/>
      <c r="G1785" s="452" t="s">
        <v>844</v>
      </c>
      <c r="H1785" s="452"/>
      <c r="I1785" s="453" t="s">
        <v>844</v>
      </c>
      <c r="J1785" s="453"/>
      <c r="K1785" s="461"/>
      <c r="L1785" s="461"/>
      <c r="M1785" s="461"/>
      <c r="N1785" s="461"/>
      <c r="O1785" s="461"/>
      <c r="P1785" s="461"/>
      <c r="Q1785" s="461"/>
      <c r="R1785" s="461"/>
      <c r="S1785" s="461"/>
      <c r="T1785" s="461"/>
      <c r="U1785" s="461"/>
      <c r="V1785" s="461"/>
    </row>
    <row r="1786" spans="1:22" s="455" customFormat="1" hidden="1">
      <c r="A1786" s="455" t="str">
        <f t="shared" si="54"/>
        <v>T</v>
      </c>
      <c r="B1786" s="455">
        <f>VLOOKUP(LEFT($C$3:$C$2600,3),Table!$D$2:$E$88,2,FALSE)</f>
        <v>0</v>
      </c>
      <c r="C1786" s="455" t="str">
        <f t="shared" si="55"/>
        <v>T</v>
      </c>
      <c r="D1786" s="455" t="e">
        <f>VLOOKUP(G1786,Table!$G$3:$H$21,2,FALSE)</f>
        <v>#N/A</v>
      </c>
      <c r="E1786" s="452"/>
      <c r="F1786" s="452"/>
      <c r="G1786" s="452" t="s">
        <v>844</v>
      </c>
      <c r="H1786" s="452"/>
      <c r="I1786" s="453" t="s">
        <v>844</v>
      </c>
      <c r="J1786" s="453"/>
      <c r="K1786" s="461"/>
      <c r="L1786" s="461"/>
      <c r="M1786" s="461"/>
      <c r="N1786" s="461"/>
      <c r="O1786" s="461"/>
      <c r="P1786" s="461"/>
      <c r="Q1786" s="461"/>
      <c r="R1786" s="461"/>
      <c r="S1786" s="461"/>
      <c r="T1786" s="461"/>
      <c r="U1786" s="461"/>
      <c r="V1786" s="461"/>
    </row>
    <row r="1787" spans="1:22" s="455" customFormat="1" hidden="1">
      <c r="A1787" s="455" t="str">
        <f t="shared" si="54"/>
        <v>T</v>
      </c>
      <c r="B1787" s="455">
        <f>VLOOKUP(LEFT($C$3:$C$2600,3),Table!$D$2:$E$88,2,FALSE)</f>
        <v>0</v>
      </c>
      <c r="C1787" s="455" t="str">
        <f t="shared" si="55"/>
        <v>T</v>
      </c>
      <c r="D1787" s="455" t="e">
        <f>VLOOKUP(G1787,Table!$G$3:$H$21,2,FALSE)</f>
        <v>#N/A</v>
      </c>
      <c r="E1787" s="452"/>
      <c r="F1787" s="452"/>
      <c r="G1787" s="452" t="s">
        <v>844</v>
      </c>
      <c r="H1787" s="452"/>
      <c r="I1787" s="453" t="s">
        <v>844</v>
      </c>
      <c r="J1787" s="453"/>
      <c r="K1787" s="461"/>
      <c r="L1787" s="461"/>
      <c r="M1787" s="461"/>
      <c r="N1787" s="461"/>
      <c r="O1787" s="461"/>
      <c r="P1787" s="461"/>
      <c r="Q1787" s="461"/>
      <c r="R1787" s="461"/>
      <c r="S1787" s="461"/>
      <c r="T1787" s="461"/>
      <c r="U1787" s="461"/>
      <c r="V1787" s="461"/>
    </row>
    <row r="1788" spans="1:22" s="455" customFormat="1" hidden="1">
      <c r="A1788" s="455" t="str">
        <f t="shared" si="54"/>
        <v>T</v>
      </c>
      <c r="B1788" s="455">
        <f>VLOOKUP(LEFT($C$3:$C$2600,3),Table!$D$2:$E$88,2,FALSE)</f>
        <v>0</v>
      </c>
      <c r="C1788" s="455" t="str">
        <f t="shared" si="55"/>
        <v>T</v>
      </c>
      <c r="D1788" s="455" t="e">
        <f>VLOOKUP(G1788,Table!$G$3:$H$21,2,FALSE)</f>
        <v>#N/A</v>
      </c>
      <c r="E1788" s="452"/>
      <c r="F1788" s="452"/>
      <c r="G1788" s="452" t="s">
        <v>844</v>
      </c>
      <c r="H1788" s="452"/>
      <c r="I1788" s="453" t="s">
        <v>844</v>
      </c>
      <c r="J1788" s="453"/>
      <c r="K1788" s="461"/>
      <c r="L1788" s="461"/>
      <c r="M1788" s="461"/>
      <c r="N1788" s="461"/>
      <c r="O1788" s="461"/>
      <c r="P1788" s="461"/>
      <c r="Q1788" s="461"/>
      <c r="R1788" s="461"/>
      <c r="S1788" s="461"/>
      <c r="T1788" s="461"/>
      <c r="U1788" s="461"/>
      <c r="V1788" s="461"/>
    </row>
    <row r="1789" spans="1:22" s="455" customFormat="1" hidden="1">
      <c r="A1789" s="455" t="str">
        <f t="shared" si="54"/>
        <v>T</v>
      </c>
      <c r="B1789" s="455">
        <f>VLOOKUP(LEFT($C$3:$C$2600,3),Table!$D$2:$E$88,2,FALSE)</f>
        <v>0</v>
      </c>
      <c r="C1789" s="455" t="str">
        <f t="shared" si="55"/>
        <v>T</v>
      </c>
      <c r="D1789" s="455" t="e">
        <f>VLOOKUP(G1789,Table!$G$3:$H$21,2,FALSE)</f>
        <v>#N/A</v>
      </c>
      <c r="E1789" s="452"/>
      <c r="F1789" s="452"/>
      <c r="G1789" s="452" t="s">
        <v>844</v>
      </c>
      <c r="H1789" s="452"/>
      <c r="I1789" s="453" t="s">
        <v>844</v>
      </c>
      <c r="J1789" s="453"/>
      <c r="K1789" s="461"/>
      <c r="L1789" s="461"/>
      <c r="M1789" s="461"/>
      <c r="N1789" s="461"/>
      <c r="O1789" s="461"/>
      <c r="P1789" s="461"/>
      <c r="Q1789" s="461"/>
      <c r="R1789" s="461"/>
      <c r="S1789" s="461"/>
      <c r="T1789" s="461"/>
      <c r="U1789" s="461"/>
      <c r="V1789" s="461"/>
    </row>
    <row r="1790" spans="1:22" s="455" customFormat="1" hidden="1">
      <c r="A1790" s="455" t="str">
        <f t="shared" si="54"/>
        <v>T</v>
      </c>
      <c r="B1790" s="455">
        <f>VLOOKUP(LEFT($C$3:$C$2600,3),Table!$D$2:$E$88,2,FALSE)</f>
        <v>0</v>
      </c>
      <c r="C1790" s="455" t="str">
        <f t="shared" si="55"/>
        <v>T</v>
      </c>
      <c r="D1790" s="455" t="e">
        <f>VLOOKUP(G1790,Table!$G$3:$H$21,2,FALSE)</f>
        <v>#N/A</v>
      </c>
      <c r="E1790" s="452"/>
      <c r="F1790" s="452"/>
      <c r="G1790" s="452" t="s">
        <v>844</v>
      </c>
      <c r="H1790" s="452"/>
      <c r="I1790" s="453" t="s">
        <v>844</v>
      </c>
      <c r="J1790" s="453"/>
      <c r="K1790" s="461"/>
      <c r="L1790" s="461"/>
      <c r="M1790" s="461"/>
      <c r="N1790" s="461"/>
      <c r="O1790" s="461"/>
      <c r="P1790" s="461"/>
      <c r="Q1790" s="461"/>
      <c r="R1790" s="461"/>
      <c r="S1790" s="461"/>
      <c r="T1790" s="461"/>
      <c r="U1790" s="461"/>
      <c r="V1790" s="461"/>
    </row>
    <row r="1791" spans="1:22" s="455" customFormat="1" hidden="1">
      <c r="A1791" s="455" t="str">
        <f t="shared" si="54"/>
        <v>T</v>
      </c>
      <c r="B1791" s="455">
        <f>VLOOKUP(LEFT($C$3:$C$2600,3),Table!$D$2:$E$88,2,FALSE)</f>
        <v>0</v>
      </c>
      <c r="C1791" s="455" t="str">
        <f t="shared" si="55"/>
        <v>T</v>
      </c>
      <c r="D1791" s="455" t="e">
        <f>VLOOKUP(G1791,Table!$G$3:$H$21,2,FALSE)</f>
        <v>#N/A</v>
      </c>
      <c r="E1791" s="452"/>
      <c r="F1791" s="452"/>
      <c r="G1791" s="452" t="s">
        <v>844</v>
      </c>
      <c r="H1791" s="452"/>
      <c r="I1791" s="453" t="s">
        <v>844</v>
      </c>
      <c r="J1791" s="453"/>
      <c r="K1791" s="461"/>
      <c r="L1791" s="461"/>
      <c r="M1791" s="461"/>
      <c r="N1791" s="461"/>
      <c r="O1791" s="461"/>
      <c r="P1791" s="461"/>
      <c r="Q1791" s="461"/>
      <c r="R1791" s="461"/>
      <c r="S1791" s="461"/>
      <c r="T1791" s="461"/>
      <c r="U1791" s="461"/>
      <c r="V1791" s="461"/>
    </row>
    <row r="1792" spans="1:22" s="455" customFormat="1" hidden="1">
      <c r="A1792" s="455" t="str">
        <f t="shared" si="54"/>
        <v>T</v>
      </c>
      <c r="B1792" s="455">
        <f>VLOOKUP(LEFT($C$3:$C$2600,3),Table!$D$2:$E$88,2,FALSE)</f>
        <v>0</v>
      </c>
      <c r="C1792" s="455" t="str">
        <f t="shared" si="55"/>
        <v>T</v>
      </c>
      <c r="D1792" s="455" t="e">
        <f>VLOOKUP(G1792,Table!$G$3:$H$21,2,FALSE)</f>
        <v>#N/A</v>
      </c>
      <c r="E1792" s="452"/>
      <c r="F1792" s="452"/>
      <c r="G1792" s="452" t="s">
        <v>844</v>
      </c>
      <c r="H1792" s="452"/>
      <c r="I1792" s="453" t="s">
        <v>844</v>
      </c>
      <c r="J1792" s="453"/>
      <c r="K1792" s="461"/>
      <c r="L1792" s="461"/>
      <c r="M1792" s="461"/>
      <c r="N1792" s="461"/>
      <c r="O1792" s="461"/>
      <c r="P1792" s="461"/>
      <c r="Q1792" s="461"/>
      <c r="R1792" s="461"/>
      <c r="S1792" s="461"/>
      <c r="T1792" s="461"/>
      <c r="U1792" s="461"/>
      <c r="V1792" s="461"/>
    </row>
    <row r="1793" spans="1:22" s="455" customFormat="1" hidden="1">
      <c r="A1793" s="455" t="str">
        <f t="shared" si="54"/>
        <v>T</v>
      </c>
      <c r="B1793" s="455">
        <f>VLOOKUP(LEFT($C$3:$C$2600,3),Table!$D$2:$E$88,2,FALSE)</f>
        <v>0</v>
      </c>
      <c r="C1793" s="455" t="str">
        <f t="shared" si="55"/>
        <v>T</v>
      </c>
      <c r="D1793" s="455" t="e">
        <f>VLOOKUP(G1793,Table!$G$3:$H$21,2,FALSE)</f>
        <v>#N/A</v>
      </c>
      <c r="E1793" s="452"/>
      <c r="F1793" s="452"/>
      <c r="G1793" s="452" t="s">
        <v>844</v>
      </c>
      <c r="H1793" s="452"/>
      <c r="I1793" s="453" t="s">
        <v>844</v>
      </c>
      <c r="J1793" s="453"/>
      <c r="K1793" s="461"/>
      <c r="L1793" s="461"/>
      <c r="M1793" s="461"/>
      <c r="N1793" s="461"/>
      <c r="O1793" s="461"/>
      <c r="P1793" s="461"/>
      <c r="Q1793" s="461"/>
      <c r="R1793" s="461"/>
      <c r="S1793" s="461"/>
      <c r="T1793" s="461"/>
      <c r="U1793" s="461"/>
      <c r="V1793" s="461"/>
    </row>
    <row r="1794" spans="1:22" s="455" customFormat="1" hidden="1">
      <c r="A1794" s="455" t="str">
        <f t="shared" si="54"/>
        <v>T</v>
      </c>
      <c r="B1794" s="455">
        <f>VLOOKUP(LEFT($C$3:$C$2600,3),Table!$D$2:$E$88,2,FALSE)</f>
        <v>0</v>
      </c>
      <c r="C1794" s="455" t="str">
        <f t="shared" si="55"/>
        <v>T</v>
      </c>
      <c r="D1794" s="455" t="e">
        <f>VLOOKUP(G1794,Table!$G$3:$H$21,2,FALSE)</f>
        <v>#N/A</v>
      </c>
      <c r="E1794" s="452"/>
      <c r="F1794" s="452"/>
      <c r="G1794" s="452" t="s">
        <v>844</v>
      </c>
      <c r="H1794" s="452"/>
      <c r="I1794" s="453" t="s">
        <v>844</v>
      </c>
      <c r="J1794" s="453"/>
      <c r="K1794" s="461"/>
      <c r="L1794" s="461"/>
      <c r="M1794" s="461"/>
      <c r="N1794" s="461"/>
      <c r="O1794" s="461"/>
      <c r="P1794" s="461"/>
      <c r="Q1794" s="461"/>
      <c r="R1794" s="461"/>
      <c r="S1794" s="461"/>
      <c r="T1794" s="461"/>
      <c r="U1794" s="461"/>
      <c r="V1794" s="461"/>
    </row>
    <row r="1795" spans="1:22" s="455" customFormat="1" hidden="1">
      <c r="A1795" s="455" t="str">
        <f t="shared" si="54"/>
        <v>T</v>
      </c>
      <c r="B1795" s="455">
        <f>VLOOKUP(LEFT($C$3:$C$2600,3),Table!$D$2:$E$88,2,FALSE)</f>
        <v>0</v>
      </c>
      <c r="C1795" s="455" t="str">
        <f t="shared" si="55"/>
        <v>T</v>
      </c>
      <c r="D1795" s="455" t="e">
        <f>VLOOKUP(G1795,Table!$G$3:$H$21,2,FALSE)</f>
        <v>#N/A</v>
      </c>
      <c r="E1795" s="452"/>
      <c r="F1795" s="452"/>
      <c r="G1795" s="452" t="s">
        <v>844</v>
      </c>
      <c r="H1795" s="452"/>
      <c r="I1795" s="453" t="s">
        <v>844</v>
      </c>
      <c r="J1795" s="453"/>
      <c r="K1795" s="461"/>
      <c r="L1795" s="461"/>
      <c r="M1795" s="461"/>
      <c r="N1795" s="461"/>
      <c r="O1795" s="461"/>
      <c r="P1795" s="461"/>
      <c r="Q1795" s="461"/>
      <c r="R1795" s="461"/>
      <c r="S1795" s="461"/>
      <c r="T1795" s="461"/>
      <c r="U1795" s="461"/>
      <c r="V1795" s="461"/>
    </row>
    <row r="1796" spans="1:22" s="455" customFormat="1" hidden="1">
      <c r="A1796" s="455" t="str">
        <f t="shared" ref="A1796:A1859" si="56">F1796&amp;G1796</f>
        <v>T</v>
      </c>
      <c r="B1796" s="455">
        <f>VLOOKUP(LEFT($C$3:$C$2600,3),Table!$D$2:$E$88,2,FALSE)</f>
        <v>0</v>
      </c>
      <c r="C1796" s="455" t="str">
        <f t="shared" ref="C1796:C1859" si="57">IF(ISNA(D1796),G1796,D1796)</f>
        <v>T</v>
      </c>
      <c r="D1796" s="455" t="e">
        <f>VLOOKUP(G1796,Table!$G$3:$H$21,2,FALSE)</f>
        <v>#N/A</v>
      </c>
      <c r="E1796" s="452"/>
      <c r="F1796" s="452"/>
      <c r="G1796" s="452" t="s">
        <v>844</v>
      </c>
      <c r="H1796" s="452"/>
      <c r="I1796" s="453" t="s">
        <v>844</v>
      </c>
      <c r="J1796" s="453"/>
      <c r="K1796" s="461"/>
      <c r="L1796" s="461"/>
      <c r="M1796" s="461"/>
      <c r="N1796" s="461"/>
      <c r="O1796" s="461"/>
      <c r="P1796" s="461"/>
      <c r="Q1796" s="461"/>
      <c r="R1796" s="461"/>
      <c r="S1796" s="461"/>
      <c r="T1796" s="461"/>
      <c r="U1796" s="461"/>
      <c r="V1796" s="461"/>
    </row>
    <row r="1797" spans="1:22" s="455" customFormat="1" hidden="1">
      <c r="A1797" s="455" t="str">
        <f t="shared" si="56"/>
        <v>T</v>
      </c>
      <c r="B1797" s="455">
        <f>VLOOKUP(LEFT($C$3:$C$2600,3),Table!$D$2:$E$88,2,FALSE)</f>
        <v>0</v>
      </c>
      <c r="C1797" s="455" t="str">
        <f t="shared" si="57"/>
        <v>T</v>
      </c>
      <c r="D1797" s="455" t="e">
        <f>VLOOKUP(G1797,Table!$G$3:$H$21,2,FALSE)</f>
        <v>#N/A</v>
      </c>
      <c r="E1797" s="452"/>
      <c r="F1797" s="452"/>
      <c r="G1797" s="452" t="s">
        <v>844</v>
      </c>
      <c r="H1797" s="452"/>
      <c r="I1797" s="453" t="s">
        <v>844</v>
      </c>
      <c r="J1797" s="453"/>
      <c r="K1797" s="461"/>
      <c r="L1797" s="461"/>
      <c r="M1797" s="461"/>
      <c r="N1797" s="461"/>
      <c r="O1797" s="461"/>
      <c r="P1797" s="461"/>
      <c r="Q1797" s="461"/>
      <c r="R1797" s="461"/>
      <c r="S1797" s="461"/>
      <c r="T1797" s="461"/>
      <c r="U1797" s="461"/>
      <c r="V1797" s="461"/>
    </row>
    <row r="1798" spans="1:22" s="455" customFormat="1" hidden="1">
      <c r="A1798" s="455" t="str">
        <f t="shared" si="56"/>
        <v>T</v>
      </c>
      <c r="B1798" s="455">
        <f>VLOOKUP(LEFT($C$3:$C$2600,3),Table!$D$2:$E$88,2,FALSE)</f>
        <v>0</v>
      </c>
      <c r="C1798" s="455" t="str">
        <f t="shared" si="57"/>
        <v>T</v>
      </c>
      <c r="D1798" s="455" t="e">
        <f>VLOOKUP(G1798,Table!$G$3:$H$21,2,FALSE)</f>
        <v>#N/A</v>
      </c>
      <c r="E1798" s="452"/>
      <c r="F1798" s="452"/>
      <c r="G1798" s="452" t="s">
        <v>844</v>
      </c>
      <c r="H1798" s="452"/>
      <c r="I1798" s="453" t="s">
        <v>844</v>
      </c>
      <c r="J1798" s="453"/>
      <c r="K1798" s="461"/>
      <c r="L1798" s="461"/>
      <c r="M1798" s="461"/>
      <c r="N1798" s="461"/>
      <c r="O1798" s="461"/>
      <c r="P1798" s="461"/>
      <c r="Q1798" s="461"/>
      <c r="R1798" s="461"/>
      <c r="S1798" s="461"/>
      <c r="T1798" s="461"/>
      <c r="U1798" s="461"/>
      <c r="V1798" s="461"/>
    </row>
    <row r="1799" spans="1:22" s="455" customFormat="1" hidden="1">
      <c r="A1799" s="455" t="str">
        <f t="shared" si="56"/>
        <v>T</v>
      </c>
      <c r="B1799" s="455">
        <f>VLOOKUP(LEFT($C$3:$C$2600,3),Table!$D$2:$E$88,2,FALSE)</f>
        <v>0</v>
      </c>
      <c r="C1799" s="455" t="str">
        <f t="shared" si="57"/>
        <v>T</v>
      </c>
      <c r="D1799" s="455" t="e">
        <f>VLOOKUP(G1799,Table!$G$3:$H$21,2,FALSE)</f>
        <v>#N/A</v>
      </c>
      <c r="E1799" s="452"/>
      <c r="F1799" s="452"/>
      <c r="G1799" s="452" t="s">
        <v>844</v>
      </c>
      <c r="H1799" s="452"/>
      <c r="I1799" s="453" t="s">
        <v>844</v>
      </c>
      <c r="J1799" s="453"/>
      <c r="K1799" s="461"/>
      <c r="L1799" s="461"/>
      <c r="M1799" s="461"/>
      <c r="N1799" s="461"/>
      <c r="O1799" s="461"/>
      <c r="P1799" s="461"/>
      <c r="Q1799" s="461"/>
      <c r="R1799" s="461"/>
      <c r="S1799" s="461"/>
      <c r="T1799" s="461"/>
      <c r="U1799" s="461"/>
      <c r="V1799" s="461"/>
    </row>
    <row r="1800" spans="1:22" s="455" customFormat="1" hidden="1">
      <c r="A1800" s="455" t="str">
        <f t="shared" si="56"/>
        <v>T</v>
      </c>
      <c r="B1800" s="455">
        <f>VLOOKUP(LEFT($C$3:$C$2600,3),Table!$D$2:$E$88,2,FALSE)</f>
        <v>0</v>
      </c>
      <c r="C1800" s="455" t="str">
        <f t="shared" si="57"/>
        <v>T</v>
      </c>
      <c r="D1800" s="455" t="e">
        <f>VLOOKUP(G1800,Table!$G$3:$H$21,2,FALSE)</f>
        <v>#N/A</v>
      </c>
      <c r="E1800" s="452"/>
      <c r="F1800" s="452"/>
      <c r="G1800" s="452" t="s">
        <v>844</v>
      </c>
      <c r="H1800" s="452"/>
      <c r="I1800" s="453" t="s">
        <v>844</v>
      </c>
      <c r="J1800" s="453"/>
      <c r="K1800" s="461"/>
      <c r="L1800" s="461"/>
      <c r="M1800" s="461"/>
      <c r="N1800" s="461"/>
      <c r="O1800" s="461"/>
      <c r="P1800" s="461"/>
      <c r="Q1800" s="461"/>
      <c r="R1800" s="461"/>
      <c r="S1800" s="461"/>
      <c r="T1800" s="461"/>
      <c r="U1800" s="461"/>
      <c r="V1800" s="461"/>
    </row>
    <row r="1801" spans="1:22" s="455" customFormat="1" hidden="1">
      <c r="A1801" s="455" t="str">
        <f t="shared" si="56"/>
        <v>T</v>
      </c>
      <c r="B1801" s="455">
        <f>VLOOKUP(LEFT($C$3:$C$2600,3),Table!$D$2:$E$88,2,FALSE)</f>
        <v>0</v>
      </c>
      <c r="C1801" s="455" t="str">
        <f t="shared" si="57"/>
        <v>T</v>
      </c>
      <c r="D1801" s="455" t="e">
        <f>VLOOKUP(G1801,Table!$G$3:$H$21,2,FALSE)</f>
        <v>#N/A</v>
      </c>
      <c r="E1801" s="452"/>
      <c r="F1801" s="452"/>
      <c r="G1801" s="452" t="s">
        <v>844</v>
      </c>
      <c r="H1801" s="452"/>
      <c r="I1801" s="453" t="s">
        <v>844</v>
      </c>
      <c r="J1801" s="453"/>
      <c r="K1801" s="461"/>
      <c r="L1801" s="461"/>
      <c r="M1801" s="461"/>
      <c r="N1801" s="461"/>
      <c r="O1801" s="461"/>
      <c r="P1801" s="461"/>
      <c r="Q1801" s="461"/>
      <c r="R1801" s="461"/>
      <c r="S1801" s="461"/>
      <c r="T1801" s="461"/>
      <c r="U1801" s="461"/>
      <c r="V1801" s="461"/>
    </row>
    <row r="1802" spans="1:22" s="455" customFormat="1" hidden="1">
      <c r="A1802" s="455" t="str">
        <f t="shared" si="56"/>
        <v>T</v>
      </c>
      <c r="B1802" s="455">
        <f>VLOOKUP(LEFT($C$3:$C$2600,3),Table!$D$2:$E$88,2,FALSE)</f>
        <v>0</v>
      </c>
      <c r="C1802" s="455" t="str">
        <f t="shared" si="57"/>
        <v>T</v>
      </c>
      <c r="D1802" s="455" t="e">
        <f>VLOOKUP(G1802,Table!$G$3:$H$21,2,FALSE)</f>
        <v>#N/A</v>
      </c>
      <c r="E1802" s="452"/>
      <c r="F1802" s="452"/>
      <c r="G1802" s="452" t="s">
        <v>844</v>
      </c>
      <c r="H1802" s="452"/>
      <c r="I1802" s="453" t="s">
        <v>844</v>
      </c>
      <c r="J1802" s="453"/>
      <c r="K1802" s="461"/>
      <c r="L1802" s="461"/>
      <c r="M1802" s="461"/>
      <c r="N1802" s="461"/>
      <c r="O1802" s="461"/>
      <c r="P1802" s="461"/>
      <c r="Q1802" s="461"/>
      <c r="R1802" s="461"/>
      <c r="S1802" s="461"/>
      <c r="T1802" s="461"/>
      <c r="U1802" s="461"/>
      <c r="V1802" s="461"/>
    </row>
    <row r="1803" spans="1:22" s="455" customFormat="1" hidden="1">
      <c r="A1803" s="455" t="str">
        <f t="shared" si="56"/>
        <v>T</v>
      </c>
      <c r="B1803" s="455">
        <f>VLOOKUP(LEFT($C$3:$C$2600,3),Table!$D$2:$E$88,2,FALSE)</f>
        <v>0</v>
      </c>
      <c r="C1803" s="455" t="str">
        <f t="shared" si="57"/>
        <v>T</v>
      </c>
      <c r="D1803" s="455" t="e">
        <f>VLOOKUP(G1803,Table!$G$3:$H$21,2,FALSE)</f>
        <v>#N/A</v>
      </c>
      <c r="E1803" s="452"/>
      <c r="F1803" s="452"/>
      <c r="G1803" s="452" t="s">
        <v>844</v>
      </c>
      <c r="H1803" s="452"/>
      <c r="I1803" s="453" t="s">
        <v>844</v>
      </c>
      <c r="J1803" s="453"/>
      <c r="K1803" s="461"/>
      <c r="L1803" s="461"/>
      <c r="M1803" s="461"/>
      <c r="N1803" s="461"/>
      <c r="O1803" s="461"/>
      <c r="P1803" s="461"/>
      <c r="Q1803" s="461"/>
      <c r="R1803" s="461"/>
      <c r="S1803" s="461"/>
      <c r="T1803" s="461"/>
      <c r="U1803" s="461"/>
      <c r="V1803" s="461"/>
    </row>
    <row r="1804" spans="1:22" s="455" customFormat="1" hidden="1">
      <c r="A1804" s="455" t="str">
        <f t="shared" si="56"/>
        <v>T</v>
      </c>
      <c r="B1804" s="455">
        <f>VLOOKUP(LEFT($C$3:$C$2600,3),Table!$D$2:$E$88,2,FALSE)</f>
        <v>0</v>
      </c>
      <c r="C1804" s="455" t="str">
        <f t="shared" si="57"/>
        <v>T</v>
      </c>
      <c r="D1804" s="455" t="e">
        <f>VLOOKUP(G1804,Table!$G$3:$H$21,2,FALSE)</f>
        <v>#N/A</v>
      </c>
      <c r="E1804" s="452"/>
      <c r="F1804" s="452"/>
      <c r="G1804" s="452" t="s">
        <v>844</v>
      </c>
      <c r="H1804" s="452"/>
      <c r="I1804" s="453" t="s">
        <v>844</v>
      </c>
      <c r="J1804" s="453"/>
      <c r="K1804" s="461"/>
      <c r="L1804" s="461"/>
      <c r="M1804" s="461"/>
      <c r="N1804" s="461"/>
      <c r="O1804" s="461"/>
      <c r="P1804" s="461"/>
      <c r="Q1804" s="461"/>
      <c r="R1804" s="461"/>
      <c r="S1804" s="461"/>
      <c r="T1804" s="461"/>
      <c r="U1804" s="461"/>
      <c r="V1804" s="461"/>
    </row>
    <row r="1805" spans="1:22" s="455" customFormat="1" hidden="1">
      <c r="A1805" s="455" t="str">
        <f t="shared" si="56"/>
        <v>T</v>
      </c>
      <c r="B1805" s="455">
        <f>VLOOKUP(LEFT($C$3:$C$2600,3),Table!$D$2:$E$88,2,FALSE)</f>
        <v>0</v>
      </c>
      <c r="C1805" s="455" t="str">
        <f t="shared" si="57"/>
        <v>T</v>
      </c>
      <c r="D1805" s="455" t="e">
        <f>VLOOKUP(G1805,Table!$G$3:$H$21,2,FALSE)</f>
        <v>#N/A</v>
      </c>
      <c r="E1805" s="452"/>
      <c r="F1805" s="452"/>
      <c r="G1805" s="452" t="s">
        <v>844</v>
      </c>
      <c r="H1805" s="452"/>
      <c r="I1805" s="453" t="s">
        <v>844</v>
      </c>
      <c r="J1805" s="453"/>
      <c r="K1805" s="461"/>
      <c r="L1805" s="461"/>
      <c r="M1805" s="461"/>
      <c r="N1805" s="461"/>
      <c r="O1805" s="461"/>
      <c r="P1805" s="461"/>
      <c r="Q1805" s="461"/>
      <c r="R1805" s="461"/>
      <c r="S1805" s="461"/>
      <c r="T1805" s="461"/>
      <c r="U1805" s="461"/>
      <c r="V1805" s="461"/>
    </row>
    <row r="1806" spans="1:22" s="455" customFormat="1" hidden="1">
      <c r="A1806" s="455" t="str">
        <f t="shared" si="56"/>
        <v>T</v>
      </c>
      <c r="B1806" s="455">
        <f>VLOOKUP(LEFT($C$3:$C$2600,3),Table!$D$2:$E$88,2,FALSE)</f>
        <v>0</v>
      </c>
      <c r="C1806" s="455" t="str">
        <f t="shared" si="57"/>
        <v>T</v>
      </c>
      <c r="D1806" s="455" t="e">
        <f>VLOOKUP(G1806,Table!$G$3:$H$21,2,FALSE)</f>
        <v>#N/A</v>
      </c>
      <c r="E1806" s="452"/>
      <c r="F1806" s="452"/>
      <c r="G1806" s="452" t="s">
        <v>844</v>
      </c>
      <c r="H1806" s="452"/>
      <c r="I1806" s="453" t="s">
        <v>844</v>
      </c>
      <c r="J1806" s="453"/>
      <c r="K1806" s="461"/>
      <c r="L1806" s="461"/>
      <c r="M1806" s="461"/>
      <c r="N1806" s="461"/>
      <c r="O1806" s="461"/>
      <c r="P1806" s="461"/>
      <c r="Q1806" s="461"/>
      <c r="R1806" s="461"/>
      <c r="S1806" s="461"/>
      <c r="T1806" s="461"/>
      <c r="U1806" s="461"/>
      <c r="V1806" s="461"/>
    </row>
    <row r="1807" spans="1:22" s="455" customFormat="1" hidden="1">
      <c r="A1807" s="455" t="str">
        <f t="shared" si="56"/>
        <v>T</v>
      </c>
      <c r="B1807" s="455">
        <f>VLOOKUP(LEFT($C$3:$C$2600,3),Table!$D$2:$E$88,2,FALSE)</f>
        <v>0</v>
      </c>
      <c r="C1807" s="455" t="str">
        <f t="shared" si="57"/>
        <v>T</v>
      </c>
      <c r="D1807" s="455" t="e">
        <f>VLOOKUP(G1807,Table!$G$3:$H$21,2,FALSE)</f>
        <v>#N/A</v>
      </c>
      <c r="E1807" s="452"/>
      <c r="F1807" s="452"/>
      <c r="G1807" s="452" t="s">
        <v>844</v>
      </c>
      <c r="H1807" s="452"/>
      <c r="I1807" s="453" t="s">
        <v>844</v>
      </c>
      <c r="J1807" s="453"/>
      <c r="K1807" s="461"/>
      <c r="L1807" s="461"/>
      <c r="M1807" s="461"/>
      <c r="N1807" s="461"/>
      <c r="O1807" s="461"/>
      <c r="P1807" s="461"/>
      <c r="Q1807" s="461"/>
      <c r="R1807" s="461"/>
      <c r="S1807" s="461"/>
      <c r="T1807" s="461"/>
      <c r="U1807" s="461"/>
      <c r="V1807" s="461"/>
    </row>
    <row r="1808" spans="1:22" s="455" customFormat="1" hidden="1">
      <c r="A1808" s="455" t="str">
        <f t="shared" si="56"/>
        <v>T</v>
      </c>
      <c r="B1808" s="455">
        <f>VLOOKUP(LEFT($C$3:$C$2600,3),Table!$D$2:$E$88,2,FALSE)</f>
        <v>0</v>
      </c>
      <c r="C1808" s="455" t="str">
        <f t="shared" si="57"/>
        <v>T</v>
      </c>
      <c r="D1808" s="455" t="e">
        <f>VLOOKUP(G1808,Table!$G$3:$H$21,2,FALSE)</f>
        <v>#N/A</v>
      </c>
      <c r="E1808" s="452"/>
      <c r="F1808" s="452"/>
      <c r="G1808" s="452" t="s">
        <v>844</v>
      </c>
      <c r="H1808" s="452"/>
      <c r="I1808" s="453" t="s">
        <v>844</v>
      </c>
      <c r="J1808" s="453"/>
      <c r="K1808" s="461"/>
      <c r="L1808" s="461"/>
      <c r="M1808" s="461"/>
      <c r="N1808" s="461"/>
      <c r="O1808" s="461"/>
      <c r="P1808" s="461"/>
      <c r="Q1808" s="461"/>
      <c r="R1808" s="461"/>
      <c r="S1808" s="461"/>
      <c r="T1808" s="461"/>
      <c r="U1808" s="461"/>
      <c r="V1808" s="461"/>
    </row>
    <row r="1809" spans="1:22" s="455" customFormat="1" hidden="1">
      <c r="A1809" s="455" t="str">
        <f t="shared" si="56"/>
        <v>T</v>
      </c>
      <c r="B1809" s="455">
        <f>VLOOKUP(LEFT($C$3:$C$2600,3),Table!$D$2:$E$88,2,FALSE)</f>
        <v>0</v>
      </c>
      <c r="C1809" s="455" t="str">
        <f t="shared" si="57"/>
        <v>T</v>
      </c>
      <c r="D1809" s="455" t="e">
        <f>VLOOKUP(G1809,Table!$G$3:$H$21,2,FALSE)</f>
        <v>#N/A</v>
      </c>
      <c r="E1809" s="452"/>
      <c r="F1809" s="452"/>
      <c r="G1809" s="452" t="s">
        <v>844</v>
      </c>
      <c r="H1809" s="452"/>
      <c r="I1809" s="453" t="s">
        <v>844</v>
      </c>
      <c r="J1809" s="453"/>
      <c r="K1809" s="461"/>
      <c r="L1809" s="461"/>
      <c r="M1809" s="461"/>
      <c r="N1809" s="461"/>
      <c r="O1809" s="461"/>
      <c r="P1809" s="461"/>
      <c r="Q1809" s="461"/>
      <c r="R1809" s="461"/>
      <c r="S1809" s="461"/>
      <c r="T1809" s="461"/>
      <c r="U1809" s="461"/>
      <c r="V1809" s="461"/>
    </row>
    <row r="1810" spans="1:22" s="455" customFormat="1" hidden="1">
      <c r="A1810" s="455" t="str">
        <f t="shared" si="56"/>
        <v>T</v>
      </c>
      <c r="B1810" s="455">
        <f>VLOOKUP(LEFT($C$3:$C$2600,3),Table!$D$2:$E$88,2,FALSE)</f>
        <v>0</v>
      </c>
      <c r="C1810" s="455" t="str">
        <f t="shared" si="57"/>
        <v>T</v>
      </c>
      <c r="D1810" s="455" t="e">
        <f>VLOOKUP(G1810,Table!$G$3:$H$21,2,FALSE)</f>
        <v>#N/A</v>
      </c>
      <c r="E1810" s="452"/>
      <c r="F1810" s="452"/>
      <c r="G1810" s="452" t="s">
        <v>844</v>
      </c>
      <c r="H1810" s="452"/>
      <c r="I1810" s="453" t="s">
        <v>844</v>
      </c>
      <c r="J1810" s="453"/>
      <c r="K1810" s="461"/>
      <c r="L1810" s="461"/>
      <c r="M1810" s="461"/>
      <c r="N1810" s="461"/>
      <c r="O1810" s="461"/>
      <c r="P1810" s="461"/>
      <c r="Q1810" s="461"/>
      <c r="R1810" s="461"/>
      <c r="S1810" s="461"/>
      <c r="T1810" s="461"/>
      <c r="U1810" s="461"/>
      <c r="V1810" s="461"/>
    </row>
    <row r="1811" spans="1:22" s="455" customFormat="1" hidden="1">
      <c r="A1811" s="455" t="str">
        <f t="shared" si="56"/>
        <v>T</v>
      </c>
      <c r="B1811" s="455">
        <f>VLOOKUP(LEFT($C$3:$C$2600,3),Table!$D$2:$E$88,2,FALSE)</f>
        <v>0</v>
      </c>
      <c r="C1811" s="455" t="str">
        <f t="shared" si="57"/>
        <v>T</v>
      </c>
      <c r="D1811" s="455" t="e">
        <f>VLOOKUP(G1811,Table!$G$3:$H$21,2,FALSE)</f>
        <v>#N/A</v>
      </c>
      <c r="E1811" s="452"/>
      <c r="F1811" s="452"/>
      <c r="G1811" s="452" t="s">
        <v>844</v>
      </c>
      <c r="H1811" s="452"/>
      <c r="I1811" s="453" t="s">
        <v>844</v>
      </c>
      <c r="J1811" s="453"/>
      <c r="K1811" s="461"/>
      <c r="L1811" s="461"/>
      <c r="M1811" s="461"/>
      <c r="N1811" s="461"/>
      <c r="O1811" s="461"/>
      <c r="P1811" s="461"/>
      <c r="Q1811" s="461"/>
      <c r="R1811" s="461"/>
      <c r="S1811" s="461"/>
      <c r="T1811" s="461"/>
      <c r="U1811" s="461"/>
      <c r="V1811" s="461"/>
    </row>
    <row r="1812" spans="1:22" s="455" customFormat="1" hidden="1">
      <c r="A1812" s="455" t="str">
        <f t="shared" si="56"/>
        <v>T</v>
      </c>
      <c r="B1812" s="455">
        <f>VLOOKUP(LEFT($C$3:$C$2600,3),Table!$D$2:$E$88,2,FALSE)</f>
        <v>0</v>
      </c>
      <c r="C1812" s="455" t="str">
        <f t="shared" si="57"/>
        <v>T</v>
      </c>
      <c r="D1812" s="455" t="e">
        <f>VLOOKUP(G1812,Table!$G$3:$H$21,2,FALSE)</f>
        <v>#N/A</v>
      </c>
      <c r="E1812" s="452"/>
      <c r="F1812" s="452"/>
      <c r="G1812" s="452" t="s">
        <v>844</v>
      </c>
      <c r="H1812" s="452"/>
      <c r="I1812" s="453" t="s">
        <v>844</v>
      </c>
      <c r="J1812" s="453"/>
      <c r="K1812" s="461"/>
      <c r="L1812" s="461"/>
      <c r="M1812" s="461"/>
      <c r="N1812" s="461"/>
      <c r="O1812" s="461"/>
      <c r="P1812" s="461"/>
      <c r="Q1812" s="461"/>
      <c r="R1812" s="461"/>
      <c r="S1812" s="461"/>
      <c r="T1812" s="461"/>
      <c r="U1812" s="461"/>
      <c r="V1812" s="461"/>
    </row>
    <row r="1813" spans="1:22" s="455" customFormat="1" hidden="1">
      <c r="A1813" s="455" t="str">
        <f t="shared" si="56"/>
        <v>T</v>
      </c>
      <c r="B1813" s="455">
        <f>VLOOKUP(LEFT($C$3:$C$2600,3),Table!$D$2:$E$88,2,FALSE)</f>
        <v>0</v>
      </c>
      <c r="C1813" s="455" t="str">
        <f t="shared" si="57"/>
        <v>T</v>
      </c>
      <c r="D1813" s="455" t="e">
        <f>VLOOKUP(G1813,Table!$G$3:$H$21,2,FALSE)</f>
        <v>#N/A</v>
      </c>
      <c r="E1813" s="452"/>
      <c r="F1813" s="452"/>
      <c r="G1813" s="452" t="s">
        <v>844</v>
      </c>
      <c r="H1813" s="452"/>
      <c r="I1813" s="453" t="s">
        <v>844</v>
      </c>
      <c r="J1813" s="453"/>
      <c r="K1813" s="461"/>
      <c r="L1813" s="461"/>
      <c r="M1813" s="461"/>
      <c r="N1813" s="461"/>
      <c r="O1813" s="461"/>
      <c r="P1813" s="461"/>
      <c r="Q1813" s="461"/>
      <c r="R1813" s="461"/>
      <c r="S1813" s="461"/>
      <c r="T1813" s="461"/>
      <c r="U1813" s="461"/>
      <c r="V1813" s="461"/>
    </row>
    <row r="1814" spans="1:22" s="455" customFormat="1" hidden="1">
      <c r="A1814" s="455" t="str">
        <f t="shared" si="56"/>
        <v>T</v>
      </c>
      <c r="B1814" s="455">
        <f>VLOOKUP(LEFT($C$3:$C$2600,3),Table!$D$2:$E$88,2,FALSE)</f>
        <v>0</v>
      </c>
      <c r="C1814" s="455" t="str">
        <f t="shared" si="57"/>
        <v>T</v>
      </c>
      <c r="D1814" s="455" t="e">
        <f>VLOOKUP(G1814,Table!$G$3:$H$21,2,FALSE)</f>
        <v>#N/A</v>
      </c>
      <c r="E1814" s="452"/>
      <c r="F1814" s="452"/>
      <c r="G1814" s="452" t="s">
        <v>844</v>
      </c>
      <c r="H1814" s="452"/>
      <c r="I1814" s="453" t="s">
        <v>844</v>
      </c>
      <c r="J1814" s="453"/>
      <c r="K1814" s="461"/>
      <c r="L1814" s="461"/>
      <c r="M1814" s="461"/>
      <c r="N1814" s="461"/>
      <c r="O1814" s="461"/>
      <c r="P1814" s="461"/>
      <c r="Q1814" s="461"/>
      <c r="R1814" s="461"/>
      <c r="S1814" s="461"/>
      <c r="T1814" s="461"/>
      <c r="U1814" s="461"/>
      <c r="V1814" s="461"/>
    </row>
    <row r="1815" spans="1:22" s="455" customFormat="1" hidden="1">
      <c r="A1815" s="455" t="str">
        <f t="shared" si="56"/>
        <v>T</v>
      </c>
      <c r="B1815" s="455">
        <f>VLOOKUP(LEFT($C$3:$C$2600,3),Table!$D$2:$E$88,2,FALSE)</f>
        <v>0</v>
      </c>
      <c r="C1815" s="455" t="str">
        <f t="shared" si="57"/>
        <v>T</v>
      </c>
      <c r="D1815" s="455" t="e">
        <f>VLOOKUP(G1815,Table!$G$3:$H$21,2,FALSE)</f>
        <v>#N/A</v>
      </c>
      <c r="E1815" s="452"/>
      <c r="F1815" s="452"/>
      <c r="G1815" s="452" t="s">
        <v>844</v>
      </c>
      <c r="H1815" s="452"/>
      <c r="I1815" s="453" t="s">
        <v>844</v>
      </c>
      <c r="J1815" s="453"/>
      <c r="K1815" s="461"/>
      <c r="L1815" s="461"/>
      <c r="M1815" s="461"/>
      <c r="N1815" s="461"/>
      <c r="O1815" s="461"/>
      <c r="P1815" s="461"/>
      <c r="Q1815" s="461"/>
      <c r="R1815" s="461"/>
      <c r="S1815" s="461"/>
      <c r="T1815" s="461"/>
      <c r="U1815" s="461"/>
      <c r="V1815" s="461"/>
    </row>
    <row r="1816" spans="1:22" s="455" customFormat="1" hidden="1">
      <c r="A1816" s="455" t="str">
        <f t="shared" si="56"/>
        <v>T</v>
      </c>
      <c r="B1816" s="455">
        <f>VLOOKUP(LEFT($C$3:$C$2600,3),Table!$D$2:$E$88,2,FALSE)</f>
        <v>0</v>
      </c>
      <c r="C1816" s="455" t="str">
        <f t="shared" si="57"/>
        <v>T</v>
      </c>
      <c r="D1816" s="455" t="e">
        <f>VLOOKUP(G1816,Table!$G$3:$H$21,2,FALSE)</f>
        <v>#N/A</v>
      </c>
      <c r="E1816" s="452"/>
      <c r="F1816" s="452"/>
      <c r="G1816" s="452" t="s">
        <v>844</v>
      </c>
      <c r="H1816" s="452"/>
      <c r="I1816" s="453" t="s">
        <v>844</v>
      </c>
      <c r="J1816" s="453"/>
      <c r="K1816" s="461"/>
      <c r="L1816" s="461"/>
      <c r="M1816" s="461"/>
      <c r="N1816" s="461"/>
      <c r="O1816" s="461"/>
      <c r="P1816" s="461"/>
      <c r="Q1816" s="461"/>
      <c r="R1816" s="461"/>
      <c r="S1816" s="461"/>
      <c r="T1816" s="461"/>
      <c r="U1816" s="461"/>
      <c r="V1816" s="461"/>
    </row>
    <row r="1817" spans="1:22" s="455" customFormat="1" hidden="1">
      <c r="A1817" s="455" t="str">
        <f t="shared" si="56"/>
        <v>T</v>
      </c>
      <c r="B1817" s="455">
        <f>VLOOKUP(LEFT($C$3:$C$2600,3),Table!$D$2:$E$88,2,FALSE)</f>
        <v>0</v>
      </c>
      <c r="C1817" s="455" t="str">
        <f t="shared" si="57"/>
        <v>T</v>
      </c>
      <c r="D1817" s="455" t="e">
        <f>VLOOKUP(G1817,Table!$G$3:$H$21,2,FALSE)</f>
        <v>#N/A</v>
      </c>
      <c r="E1817" s="452"/>
      <c r="F1817" s="452"/>
      <c r="G1817" s="452" t="s">
        <v>844</v>
      </c>
      <c r="H1817" s="452"/>
      <c r="I1817" s="453" t="s">
        <v>844</v>
      </c>
      <c r="J1817" s="453"/>
      <c r="K1817" s="461"/>
      <c r="L1817" s="461"/>
      <c r="M1817" s="461"/>
      <c r="N1817" s="461"/>
      <c r="O1817" s="461"/>
      <c r="P1817" s="461"/>
      <c r="Q1817" s="461"/>
      <c r="R1817" s="461"/>
      <c r="S1817" s="461"/>
      <c r="T1817" s="461"/>
      <c r="U1817" s="461"/>
      <c r="V1817" s="461"/>
    </row>
    <row r="1818" spans="1:22" s="455" customFormat="1" hidden="1">
      <c r="A1818" s="455" t="str">
        <f t="shared" si="56"/>
        <v>T</v>
      </c>
      <c r="B1818" s="455">
        <f>VLOOKUP(LEFT($C$3:$C$2600,3),Table!$D$2:$E$88,2,FALSE)</f>
        <v>0</v>
      </c>
      <c r="C1818" s="455" t="str">
        <f t="shared" si="57"/>
        <v>T</v>
      </c>
      <c r="D1818" s="455" t="e">
        <f>VLOOKUP(G1818,Table!$G$3:$H$21,2,FALSE)</f>
        <v>#N/A</v>
      </c>
      <c r="E1818" s="452"/>
      <c r="F1818" s="452"/>
      <c r="G1818" s="452" t="s">
        <v>844</v>
      </c>
      <c r="H1818" s="452"/>
      <c r="I1818" s="453" t="s">
        <v>844</v>
      </c>
      <c r="J1818" s="453"/>
      <c r="K1818" s="461"/>
      <c r="L1818" s="461"/>
      <c r="M1818" s="461"/>
      <c r="N1818" s="461"/>
      <c r="O1818" s="461"/>
      <c r="P1818" s="461"/>
      <c r="Q1818" s="461"/>
      <c r="R1818" s="461"/>
      <c r="S1818" s="461"/>
      <c r="T1818" s="461"/>
      <c r="U1818" s="461"/>
      <c r="V1818" s="461"/>
    </row>
    <row r="1819" spans="1:22" s="455" customFormat="1" hidden="1">
      <c r="A1819" s="455" t="str">
        <f t="shared" si="56"/>
        <v>T</v>
      </c>
      <c r="B1819" s="455">
        <f>VLOOKUP(LEFT($C$3:$C$2600,3),Table!$D$2:$E$88,2,FALSE)</f>
        <v>0</v>
      </c>
      <c r="C1819" s="455" t="str">
        <f t="shared" si="57"/>
        <v>T</v>
      </c>
      <c r="D1819" s="455" t="e">
        <f>VLOOKUP(G1819,Table!$G$3:$H$21,2,FALSE)</f>
        <v>#N/A</v>
      </c>
      <c r="E1819" s="452"/>
      <c r="F1819" s="452"/>
      <c r="G1819" s="452" t="s">
        <v>844</v>
      </c>
      <c r="H1819" s="452"/>
      <c r="I1819" s="453" t="s">
        <v>844</v>
      </c>
      <c r="J1819" s="453"/>
      <c r="K1819" s="461"/>
      <c r="L1819" s="461"/>
      <c r="M1819" s="461"/>
      <c r="N1819" s="461"/>
      <c r="O1819" s="461"/>
      <c r="P1819" s="461"/>
      <c r="Q1819" s="461"/>
      <c r="R1819" s="461"/>
      <c r="S1819" s="461"/>
      <c r="T1819" s="461"/>
      <c r="U1819" s="461"/>
      <c r="V1819" s="461"/>
    </row>
    <row r="1820" spans="1:22" s="455" customFormat="1" hidden="1">
      <c r="A1820" s="455" t="str">
        <f t="shared" si="56"/>
        <v>T</v>
      </c>
      <c r="B1820" s="455">
        <f>VLOOKUP(LEFT($C$3:$C$2600,3),Table!$D$2:$E$88,2,FALSE)</f>
        <v>0</v>
      </c>
      <c r="C1820" s="455" t="str">
        <f t="shared" si="57"/>
        <v>T</v>
      </c>
      <c r="D1820" s="455" t="e">
        <f>VLOOKUP(G1820,Table!$G$3:$H$21,2,FALSE)</f>
        <v>#N/A</v>
      </c>
      <c r="E1820" s="452"/>
      <c r="F1820" s="452"/>
      <c r="G1820" s="452" t="s">
        <v>844</v>
      </c>
      <c r="H1820" s="452"/>
      <c r="I1820" s="453" t="s">
        <v>844</v>
      </c>
      <c r="J1820" s="453"/>
      <c r="K1820" s="461"/>
      <c r="L1820" s="461"/>
      <c r="M1820" s="461"/>
      <c r="N1820" s="461"/>
      <c r="O1820" s="461"/>
      <c r="P1820" s="461"/>
      <c r="Q1820" s="461"/>
      <c r="R1820" s="461"/>
      <c r="S1820" s="461"/>
      <c r="T1820" s="461"/>
      <c r="U1820" s="461"/>
      <c r="V1820" s="461"/>
    </row>
    <row r="1821" spans="1:22" s="455" customFormat="1" hidden="1">
      <c r="A1821" s="455" t="str">
        <f t="shared" si="56"/>
        <v>T</v>
      </c>
      <c r="B1821" s="455">
        <f>VLOOKUP(LEFT($C$3:$C$2600,3),Table!$D$2:$E$88,2,FALSE)</f>
        <v>0</v>
      </c>
      <c r="C1821" s="455" t="str">
        <f t="shared" si="57"/>
        <v>T</v>
      </c>
      <c r="D1821" s="455" t="e">
        <f>VLOOKUP(G1821,Table!$G$3:$H$21,2,FALSE)</f>
        <v>#N/A</v>
      </c>
      <c r="E1821" s="452"/>
      <c r="F1821" s="452"/>
      <c r="G1821" s="452" t="s">
        <v>844</v>
      </c>
      <c r="H1821" s="452"/>
      <c r="I1821" s="453" t="s">
        <v>844</v>
      </c>
      <c r="J1821" s="453"/>
      <c r="K1821" s="461"/>
      <c r="L1821" s="461"/>
      <c r="M1821" s="461"/>
      <c r="N1821" s="461"/>
      <c r="O1821" s="461"/>
      <c r="P1821" s="461"/>
      <c r="Q1821" s="461"/>
      <c r="R1821" s="461"/>
      <c r="S1821" s="461"/>
      <c r="T1821" s="461"/>
      <c r="U1821" s="461"/>
      <c r="V1821" s="461"/>
    </row>
    <row r="1822" spans="1:22" s="455" customFormat="1" hidden="1">
      <c r="A1822" s="455" t="str">
        <f t="shared" si="56"/>
        <v>T</v>
      </c>
      <c r="B1822" s="455">
        <f>VLOOKUP(LEFT($C$3:$C$2600,3),Table!$D$2:$E$88,2,FALSE)</f>
        <v>0</v>
      </c>
      <c r="C1822" s="455" t="str">
        <f t="shared" si="57"/>
        <v>T</v>
      </c>
      <c r="D1822" s="455" t="e">
        <f>VLOOKUP(G1822,Table!$G$3:$H$21,2,FALSE)</f>
        <v>#N/A</v>
      </c>
      <c r="E1822" s="452"/>
      <c r="F1822" s="452"/>
      <c r="G1822" s="452" t="s">
        <v>844</v>
      </c>
      <c r="H1822" s="452"/>
      <c r="I1822" s="453" t="s">
        <v>844</v>
      </c>
      <c r="J1822" s="453"/>
      <c r="K1822" s="461"/>
      <c r="L1822" s="461"/>
      <c r="M1822" s="461"/>
      <c r="N1822" s="461"/>
      <c r="O1822" s="461"/>
      <c r="P1822" s="461"/>
      <c r="Q1822" s="461"/>
      <c r="R1822" s="461"/>
      <c r="S1822" s="461"/>
      <c r="T1822" s="461"/>
      <c r="U1822" s="461"/>
      <c r="V1822" s="461"/>
    </row>
    <row r="1823" spans="1:22" s="455" customFormat="1" hidden="1">
      <c r="A1823" s="455" t="str">
        <f t="shared" si="56"/>
        <v>T</v>
      </c>
      <c r="B1823" s="455">
        <f>VLOOKUP(LEFT($C$3:$C$2600,3),Table!$D$2:$E$88,2,FALSE)</f>
        <v>0</v>
      </c>
      <c r="C1823" s="455" t="str">
        <f t="shared" si="57"/>
        <v>T</v>
      </c>
      <c r="D1823" s="455" t="e">
        <f>VLOOKUP(G1823,Table!$G$3:$H$21,2,FALSE)</f>
        <v>#N/A</v>
      </c>
      <c r="E1823" s="452"/>
      <c r="F1823" s="452"/>
      <c r="G1823" s="452" t="s">
        <v>844</v>
      </c>
      <c r="H1823" s="452"/>
      <c r="I1823" s="453" t="s">
        <v>844</v>
      </c>
      <c r="J1823" s="453"/>
      <c r="K1823" s="461"/>
      <c r="L1823" s="461"/>
      <c r="M1823" s="461"/>
      <c r="N1823" s="461"/>
      <c r="O1823" s="461"/>
      <c r="P1823" s="461"/>
      <c r="Q1823" s="461"/>
      <c r="R1823" s="461"/>
      <c r="S1823" s="461"/>
      <c r="T1823" s="461"/>
      <c r="U1823" s="461"/>
      <c r="V1823" s="461"/>
    </row>
    <row r="1824" spans="1:22" s="455" customFormat="1" hidden="1">
      <c r="A1824" s="455" t="str">
        <f t="shared" si="56"/>
        <v>T</v>
      </c>
      <c r="B1824" s="455">
        <f>VLOOKUP(LEFT($C$3:$C$2600,3),Table!$D$2:$E$88,2,FALSE)</f>
        <v>0</v>
      </c>
      <c r="C1824" s="455" t="str">
        <f t="shared" si="57"/>
        <v>T</v>
      </c>
      <c r="D1824" s="455" t="e">
        <f>VLOOKUP(G1824,Table!$G$3:$H$21,2,FALSE)</f>
        <v>#N/A</v>
      </c>
      <c r="E1824" s="452"/>
      <c r="F1824" s="452"/>
      <c r="G1824" s="452" t="s">
        <v>844</v>
      </c>
      <c r="H1824" s="452"/>
      <c r="I1824" s="453" t="s">
        <v>844</v>
      </c>
      <c r="J1824" s="453"/>
      <c r="K1824" s="461"/>
      <c r="L1824" s="461"/>
      <c r="M1824" s="461"/>
      <c r="N1824" s="461"/>
      <c r="O1824" s="461"/>
      <c r="P1824" s="461"/>
      <c r="Q1824" s="461"/>
      <c r="R1824" s="461"/>
      <c r="S1824" s="461"/>
      <c r="T1824" s="461"/>
      <c r="U1824" s="461"/>
      <c r="V1824" s="461"/>
    </row>
    <row r="1825" spans="1:22" s="455" customFormat="1" hidden="1">
      <c r="A1825" s="455" t="str">
        <f t="shared" si="56"/>
        <v>T</v>
      </c>
      <c r="B1825" s="455">
        <f>VLOOKUP(LEFT($C$3:$C$2600,3),Table!$D$2:$E$88,2,FALSE)</f>
        <v>0</v>
      </c>
      <c r="C1825" s="455" t="str">
        <f t="shared" si="57"/>
        <v>T</v>
      </c>
      <c r="D1825" s="455" t="e">
        <f>VLOOKUP(G1825,Table!$G$3:$H$21,2,FALSE)</f>
        <v>#N/A</v>
      </c>
      <c r="E1825" s="452"/>
      <c r="F1825" s="452"/>
      <c r="G1825" s="452" t="s">
        <v>844</v>
      </c>
      <c r="H1825" s="452"/>
      <c r="I1825" s="453" t="s">
        <v>844</v>
      </c>
      <c r="J1825" s="453"/>
      <c r="K1825" s="461"/>
      <c r="L1825" s="461"/>
      <c r="M1825" s="461"/>
      <c r="N1825" s="461"/>
      <c r="O1825" s="461"/>
      <c r="P1825" s="461"/>
      <c r="Q1825" s="461"/>
      <c r="R1825" s="461"/>
      <c r="S1825" s="461"/>
      <c r="T1825" s="461"/>
      <c r="U1825" s="461"/>
      <c r="V1825" s="461"/>
    </row>
    <row r="1826" spans="1:22" s="455" customFormat="1" hidden="1">
      <c r="A1826" s="455" t="str">
        <f t="shared" si="56"/>
        <v>T</v>
      </c>
      <c r="B1826" s="455">
        <f>VLOOKUP(LEFT($C$3:$C$2600,3),Table!$D$2:$E$88,2,FALSE)</f>
        <v>0</v>
      </c>
      <c r="C1826" s="455" t="str">
        <f t="shared" si="57"/>
        <v>T</v>
      </c>
      <c r="D1826" s="455" t="e">
        <f>VLOOKUP(G1826,Table!$G$3:$H$21,2,FALSE)</f>
        <v>#N/A</v>
      </c>
      <c r="E1826" s="452"/>
      <c r="F1826" s="452"/>
      <c r="G1826" s="452" t="s">
        <v>844</v>
      </c>
      <c r="H1826" s="452"/>
      <c r="I1826" s="453" t="s">
        <v>844</v>
      </c>
      <c r="J1826" s="453"/>
      <c r="K1826" s="461"/>
      <c r="L1826" s="461"/>
      <c r="M1826" s="461"/>
      <c r="N1826" s="461"/>
      <c r="O1826" s="461"/>
      <c r="P1826" s="461"/>
      <c r="Q1826" s="461"/>
      <c r="R1826" s="461"/>
      <c r="S1826" s="461"/>
      <c r="T1826" s="461"/>
      <c r="U1826" s="461"/>
      <c r="V1826" s="461"/>
    </row>
    <row r="1827" spans="1:22" s="455" customFormat="1" hidden="1">
      <c r="A1827" s="455" t="str">
        <f t="shared" si="56"/>
        <v>T</v>
      </c>
      <c r="B1827" s="455">
        <f>VLOOKUP(LEFT($C$3:$C$2600,3),Table!$D$2:$E$88,2,FALSE)</f>
        <v>0</v>
      </c>
      <c r="C1827" s="455" t="str">
        <f t="shared" si="57"/>
        <v>T</v>
      </c>
      <c r="D1827" s="455" t="e">
        <f>VLOOKUP(G1827,Table!$G$3:$H$21,2,FALSE)</f>
        <v>#N/A</v>
      </c>
      <c r="E1827" s="452"/>
      <c r="F1827" s="452"/>
      <c r="G1827" s="452" t="s">
        <v>844</v>
      </c>
      <c r="H1827" s="452"/>
      <c r="I1827" s="453" t="s">
        <v>844</v>
      </c>
      <c r="J1827" s="453"/>
      <c r="K1827" s="461"/>
      <c r="L1827" s="461"/>
      <c r="M1827" s="461"/>
      <c r="N1827" s="461"/>
      <c r="O1827" s="461"/>
      <c r="P1827" s="461"/>
      <c r="Q1827" s="461"/>
      <c r="R1827" s="461"/>
      <c r="S1827" s="461"/>
      <c r="T1827" s="461"/>
      <c r="U1827" s="461"/>
      <c r="V1827" s="461"/>
    </row>
    <row r="1828" spans="1:22" s="455" customFormat="1" hidden="1">
      <c r="A1828" s="455" t="str">
        <f t="shared" si="56"/>
        <v>T</v>
      </c>
      <c r="B1828" s="455">
        <f>VLOOKUP(LEFT($C$3:$C$2600,3),Table!$D$2:$E$88,2,FALSE)</f>
        <v>0</v>
      </c>
      <c r="C1828" s="455" t="str">
        <f t="shared" si="57"/>
        <v>T</v>
      </c>
      <c r="D1828" s="455" t="e">
        <f>VLOOKUP(G1828,Table!$G$3:$H$21,2,FALSE)</f>
        <v>#N/A</v>
      </c>
      <c r="E1828" s="452"/>
      <c r="F1828" s="452"/>
      <c r="G1828" s="452" t="s">
        <v>844</v>
      </c>
      <c r="H1828" s="452"/>
      <c r="I1828" s="453" t="s">
        <v>844</v>
      </c>
      <c r="J1828" s="453"/>
      <c r="K1828" s="461"/>
      <c r="L1828" s="461"/>
      <c r="M1828" s="461"/>
      <c r="N1828" s="461"/>
      <c r="O1828" s="461"/>
      <c r="P1828" s="461"/>
      <c r="Q1828" s="461"/>
      <c r="R1828" s="461"/>
      <c r="S1828" s="461"/>
      <c r="T1828" s="461"/>
      <c r="U1828" s="461"/>
      <c r="V1828" s="461"/>
    </row>
    <row r="1829" spans="1:22" s="455" customFormat="1" hidden="1">
      <c r="A1829" s="455" t="str">
        <f t="shared" si="56"/>
        <v>T</v>
      </c>
      <c r="B1829" s="455">
        <f>VLOOKUP(LEFT($C$3:$C$2600,3),Table!$D$2:$E$88,2,FALSE)</f>
        <v>0</v>
      </c>
      <c r="C1829" s="455" t="str">
        <f t="shared" si="57"/>
        <v>T</v>
      </c>
      <c r="D1829" s="455" t="e">
        <f>VLOOKUP(G1829,Table!$G$3:$H$21,2,FALSE)</f>
        <v>#N/A</v>
      </c>
      <c r="E1829" s="452"/>
      <c r="F1829" s="452"/>
      <c r="G1829" s="452" t="s">
        <v>844</v>
      </c>
      <c r="H1829" s="452"/>
      <c r="I1829" s="453" t="s">
        <v>844</v>
      </c>
      <c r="J1829" s="453"/>
      <c r="K1829" s="461"/>
      <c r="L1829" s="461"/>
      <c r="M1829" s="461"/>
      <c r="N1829" s="461"/>
      <c r="O1829" s="461"/>
      <c r="P1829" s="461"/>
      <c r="Q1829" s="461"/>
      <c r="R1829" s="461"/>
      <c r="S1829" s="461"/>
      <c r="T1829" s="461"/>
      <c r="U1829" s="461"/>
      <c r="V1829" s="461"/>
    </row>
    <row r="1830" spans="1:22" s="455" customFormat="1" hidden="1">
      <c r="A1830" s="455" t="str">
        <f t="shared" si="56"/>
        <v>T</v>
      </c>
      <c r="B1830" s="455">
        <f>VLOOKUP(LEFT($C$3:$C$2600,3),Table!$D$2:$E$88,2,FALSE)</f>
        <v>0</v>
      </c>
      <c r="C1830" s="455" t="str">
        <f t="shared" si="57"/>
        <v>T</v>
      </c>
      <c r="D1830" s="455" t="e">
        <f>VLOOKUP(G1830,Table!$G$3:$H$21,2,FALSE)</f>
        <v>#N/A</v>
      </c>
      <c r="E1830" s="452"/>
      <c r="F1830" s="452"/>
      <c r="G1830" s="452" t="s">
        <v>844</v>
      </c>
      <c r="H1830" s="452"/>
      <c r="I1830" s="453" t="s">
        <v>844</v>
      </c>
      <c r="J1830" s="453"/>
      <c r="K1830" s="461"/>
      <c r="L1830" s="461"/>
      <c r="M1830" s="461"/>
      <c r="N1830" s="461"/>
      <c r="O1830" s="461"/>
      <c r="P1830" s="461"/>
      <c r="Q1830" s="461"/>
      <c r="R1830" s="461"/>
      <c r="S1830" s="461"/>
      <c r="T1830" s="461"/>
      <c r="U1830" s="461"/>
      <c r="V1830" s="461"/>
    </row>
    <row r="1831" spans="1:22" s="455" customFormat="1" hidden="1">
      <c r="A1831" s="455" t="str">
        <f t="shared" si="56"/>
        <v>T</v>
      </c>
      <c r="B1831" s="455">
        <f>VLOOKUP(LEFT($C$3:$C$2600,3),Table!$D$2:$E$88,2,FALSE)</f>
        <v>0</v>
      </c>
      <c r="C1831" s="455" t="str">
        <f t="shared" si="57"/>
        <v>T</v>
      </c>
      <c r="D1831" s="455" t="e">
        <f>VLOOKUP(G1831,Table!$G$3:$H$21,2,FALSE)</f>
        <v>#N/A</v>
      </c>
      <c r="E1831" s="452"/>
      <c r="F1831" s="452"/>
      <c r="G1831" s="452" t="s">
        <v>844</v>
      </c>
      <c r="H1831" s="452"/>
      <c r="I1831" s="453" t="s">
        <v>844</v>
      </c>
      <c r="J1831" s="453"/>
      <c r="K1831" s="461"/>
      <c r="L1831" s="461"/>
      <c r="M1831" s="461"/>
      <c r="N1831" s="461"/>
      <c r="O1831" s="461"/>
      <c r="P1831" s="461"/>
      <c r="Q1831" s="461"/>
      <c r="R1831" s="461"/>
      <c r="S1831" s="461"/>
      <c r="T1831" s="461"/>
      <c r="U1831" s="461"/>
      <c r="V1831" s="461"/>
    </row>
    <row r="1832" spans="1:22" s="455" customFormat="1" hidden="1">
      <c r="A1832" s="455" t="str">
        <f t="shared" si="56"/>
        <v>T</v>
      </c>
      <c r="B1832" s="455">
        <f>VLOOKUP(LEFT($C$3:$C$2600,3),Table!$D$2:$E$88,2,FALSE)</f>
        <v>0</v>
      </c>
      <c r="C1832" s="455" t="str">
        <f t="shared" si="57"/>
        <v>T</v>
      </c>
      <c r="D1832" s="455" t="e">
        <f>VLOOKUP(G1832,Table!$G$3:$H$21,2,FALSE)</f>
        <v>#N/A</v>
      </c>
      <c r="E1832" s="452"/>
      <c r="F1832" s="452"/>
      <c r="G1832" s="452" t="s">
        <v>844</v>
      </c>
      <c r="H1832" s="452"/>
      <c r="I1832" s="453" t="s">
        <v>844</v>
      </c>
      <c r="J1832" s="453"/>
      <c r="K1832" s="461"/>
      <c r="L1832" s="461"/>
      <c r="M1832" s="461"/>
      <c r="N1832" s="461"/>
      <c r="O1832" s="461"/>
      <c r="P1832" s="461"/>
      <c r="Q1832" s="461"/>
      <c r="R1832" s="461"/>
      <c r="S1832" s="461"/>
      <c r="T1832" s="461"/>
      <c r="U1832" s="461"/>
      <c r="V1832" s="461"/>
    </row>
    <row r="1833" spans="1:22" s="455" customFormat="1" hidden="1">
      <c r="A1833" s="455" t="str">
        <f t="shared" si="56"/>
        <v>T</v>
      </c>
      <c r="B1833" s="455">
        <f>VLOOKUP(LEFT($C$3:$C$2600,3),Table!$D$2:$E$88,2,FALSE)</f>
        <v>0</v>
      </c>
      <c r="C1833" s="455" t="str">
        <f t="shared" si="57"/>
        <v>T</v>
      </c>
      <c r="D1833" s="455" t="e">
        <f>VLOOKUP(G1833,Table!$G$3:$H$21,2,FALSE)</f>
        <v>#N/A</v>
      </c>
      <c r="E1833" s="452"/>
      <c r="F1833" s="452"/>
      <c r="G1833" s="452" t="s">
        <v>844</v>
      </c>
      <c r="H1833" s="452"/>
      <c r="I1833" s="453" t="s">
        <v>844</v>
      </c>
      <c r="J1833" s="453"/>
      <c r="K1833" s="461"/>
      <c r="L1833" s="461"/>
      <c r="M1833" s="461"/>
      <c r="N1833" s="461"/>
      <c r="O1833" s="461"/>
      <c r="P1833" s="461"/>
      <c r="Q1833" s="461"/>
      <c r="R1833" s="461"/>
      <c r="S1833" s="461"/>
      <c r="T1833" s="461"/>
      <c r="U1833" s="461"/>
      <c r="V1833" s="461"/>
    </row>
    <row r="1834" spans="1:22" s="455" customFormat="1" hidden="1">
      <c r="A1834" s="455" t="str">
        <f t="shared" si="56"/>
        <v>T</v>
      </c>
      <c r="B1834" s="455">
        <f>VLOOKUP(LEFT($C$3:$C$2600,3),Table!$D$2:$E$88,2,FALSE)</f>
        <v>0</v>
      </c>
      <c r="C1834" s="455" t="str">
        <f t="shared" si="57"/>
        <v>T</v>
      </c>
      <c r="D1834" s="455" t="e">
        <f>VLOOKUP(G1834,Table!$G$3:$H$21,2,FALSE)</f>
        <v>#N/A</v>
      </c>
      <c r="E1834" s="452"/>
      <c r="F1834" s="452"/>
      <c r="G1834" s="452" t="s">
        <v>844</v>
      </c>
      <c r="H1834" s="452"/>
      <c r="I1834" s="453" t="s">
        <v>844</v>
      </c>
      <c r="J1834" s="453"/>
      <c r="K1834" s="461"/>
      <c r="L1834" s="461"/>
      <c r="M1834" s="461"/>
      <c r="N1834" s="461"/>
      <c r="O1834" s="461"/>
      <c r="P1834" s="461"/>
      <c r="Q1834" s="461"/>
      <c r="R1834" s="461"/>
      <c r="S1834" s="461"/>
      <c r="T1834" s="461"/>
      <c r="U1834" s="461"/>
      <c r="V1834" s="461"/>
    </row>
    <row r="1835" spans="1:22" s="455" customFormat="1" hidden="1">
      <c r="A1835" s="455" t="str">
        <f t="shared" si="56"/>
        <v>T</v>
      </c>
      <c r="B1835" s="455">
        <f>VLOOKUP(LEFT($C$3:$C$2600,3),Table!$D$2:$E$88,2,FALSE)</f>
        <v>0</v>
      </c>
      <c r="C1835" s="455" t="str">
        <f t="shared" si="57"/>
        <v>T</v>
      </c>
      <c r="D1835" s="455" t="e">
        <f>VLOOKUP(G1835,Table!$G$3:$H$21,2,FALSE)</f>
        <v>#N/A</v>
      </c>
      <c r="E1835" s="452"/>
      <c r="F1835" s="452"/>
      <c r="G1835" s="452" t="s">
        <v>844</v>
      </c>
      <c r="H1835" s="452"/>
      <c r="I1835" s="453" t="s">
        <v>844</v>
      </c>
      <c r="J1835" s="453"/>
      <c r="K1835" s="461"/>
      <c r="L1835" s="461"/>
      <c r="M1835" s="461"/>
      <c r="N1835" s="461"/>
      <c r="O1835" s="461"/>
      <c r="P1835" s="461"/>
      <c r="Q1835" s="461"/>
      <c r="R1835" s="461"/>
      <c r="S1835" s="461"/>
      <c r="T1835" s="461"/>
      <c r="U1835" s="461"/>
      <c r="V1835" s="461"/>
    </row>
    <row r="1836" spans="1:22" s="455" customFormat="1" hidden="1">
      <c r="A1836" s="455" t="str">
        <f t="shared" si="56"/>
        <v>T</v>
      </c>
      <c r="B1836" s="455">
        <f>VLOOKUP(LEFT($C$3:$C$2600,3),Table!$D$2:$E$88,2,FALSE)</f>
        <v>0</v>
      </c>
      <c r="C1836" s="455" t="str">
        <f t="shared" si="57"/>
        <v>T</v>
      </c>
      <c r="D1836" s="455" t="e">
        <f>VLOOKUP(G1836,Table!$G$3:$H$21,2,FALSE)</f>
        <v>#N/A</v>
      </c>
      <c r="E1836" s="452"/>
      <c r="F1836" s="452"/>
      <c r="G1836" s="452" t="s">
        <v>844</v>
      </c>
      <c r="H1836" s="452"/>
      <c r="I1836" s="453" t="s">
        <v>844</v>
      </c>
      <c r="J1836" s="453"/>
      <c r="K1836" s="461"/>
      <c r="L1836" s="461"/>
      <c r="M1836" s="461"/>
      <c r="N1836" s="461"/>
      <c r="O1836" s="461"/>
      <c r="P1836" s="461"/>
      <c r="Q1836" s="461"/>
      <c r="R1836" s="461"/>
      <c r="S1836" s="461"/>
      <c r="T1836" s="461"/>
      <c r="U1836" s="461"/>
      <c r="V1836" s="461"/>
    </row>
    <row r="1837" spans="1:22" s="455" customFormat="1" hidden="1">
      <c r="A1837" s="455" t="str">
        <f t="shared" si="56"/>
        <v>T</v>
      </c>
      <c r="B1837" s="455">
        <f>VLOOKUP(LEFT($C$3:$C$2600,3),Table!$D$2:$E$88,2,FALSE)</f>
        <v>0</v>
      </c>
      <c r="C1837" s="455" t="str">
        <f t="shared" si="57"/>
        <v>T</v>
      </c>
      <c r="D1837" s="455" t="e">
        <f>VLOOKUP(G1837,Table!$G$3:$H$21,2,FALSE)</f>
        <v>#N/A</v>
      </c>
      <c r="E1837" s="452"/>
      <c r="F1837" s="452"/>
      <c r="G1837" s="452" t="s">
        <v>844</v>
      </c>
      <c r="H1837" s="452"/>
      <c r="I1837" s="453" t="s">
        <v>844</v>
      </c>
      <c r="J1837" s="453"/>
      <c r="K1837" s="461"/>
      <c r="L1837" s="461"/>
      <c r="M1837" s="461"/>
      <c r="N1837" s="461"/>
      <c r="O1837" s="461"/>
      <c r="P1837" s="461"/>
      <c r="Q1837" s="461"/>
      <c r="R1837" s="461"/>
      <c r="S1837" s="461"/>
      <c r="T1837" s="461"/>
      <c r="U1837" s="461"/>
      <c r="V1837" s="461"/>
    </row>
    <row r="1838" spans="1:22" s="455" customFormat="1" hidden="1">
      <c r="A1838" s="455" t="str">
        <f t="shared" si="56"/>
        <v>T</v>
      </c>
      <c r="B1838" s="455">
        <f>VLOOKUP(LEFT($C$3:$C$2600,3),Table!$D$2:$E$88,2,FALSE)</f>
        <v>0</v>
      </c>
      <c r="C1838" s="455" t="str">
        <f t="shared" si="57"/>
        <v>T</v>
      </c>
      <c r="D1838" s="455" t="e">
        <f>VLOOKUP(G1838,Table!$G$3:$H$21,2,FALSE)</f>
        <v>#N/A</v>
      </c>
      <c r="E1838" s="452"/>
      <c r="F1838" s="452"/>
      <c r="G1838" s="452" t="s">
        <v>844</v>
      </c>
      <c r="H1838" s="452"/>
      <c r="I1838" s="453" t="s">
        <v>844</v>
      </c>
      <c r="J1838" s="453"/>
      <c r="K1838" s="461"/>
      <c r="L1838" s="461"/>
      <c r="M1838" s="461"/>
      <c r="N1838" s="461"/>
      <c r="O1838" s="461"/>
      <c r="P1838" s="461"/>
      <c r="Q1838" s="461"/>
      <c r="R1838" s="461"/>
      <c r="S1838" s="461"/>
      <c r="T1838" s="461"/>
      <c r="U1838" s="461"/>
      <c r="V1838" s="461"/>
    </row>
    <row r="1839" spans="1:22" s="455" customFormat="1" hidden="1">
      <c r="A1839" s="455" t="str">
        <f t="shared" si="56"/>
        <v>T</v>
      </c>
      <c r="B1839" s="455">
        <f>VLOOKUP(LEFT($C$3:$C$2600,3),Table!$D$2:$E$88,2,FALSE)</f>
        <v>0</v>
      </c>
      <c r="C1839" s="455" t="str">
        <f t="shared" si="57"/>
        <v>T</v>
      </c>
      <c r="D1839" s="455" t="e">
        <f>VLOOKUP(G1839,Table!$G$3:$H$21,2,FALSE)</f>
        <v>#N/A</v>
      </c>
      <c r="E1839" s="452"/>
      <c r="F1839" s="452"/>
      <c r="G1839" s="452" t="s">
        <v>844</v>
      </c>
      <c r="H1839" s="452"/>
      <c r="I1839" s="453" t="s">
        <v>844</v>
      </c>
      <c r="J1839" s="453"/>
      <c r="K1839" s="461"/>
      <c r="L1839" s="461"/>
      <c r="M1839" s="461"/>
      <c r="N1839" s="461"/>
      <c r="O1839" s="461"/>
      <c r="P1839" s="461"/>
      <c r="Q1839" s="461"/>
      <c r="R1839" s="461"/>
      <c r="S1839" s="461"/>
      <c r="T1839" s="461"/>
      <c r="U1839" s="461"/>
      <c r="V1839" s="461"/>
    </row>
    <row r="1840" spans="1:22" s="455" customFormat="1" hidden="1">
      <c r="A1840" s="455" t="str">
        <f t="shared" si="56"/>
        <v>T</v>
      </c>
      <c r="B1840" s="455">
        <f>VLOOKUP(LEFT($C$3:$C$2600,3),Table!$D$2:$E$88,2,FALSE)</f>
        <v>0</v>
      </c>
      <c r="C1840" s="455" t="str">
        <f t="shared" si="57"/>
        <v>T</v>
      </c>
      <c r="D1840" s="455" t="e">
        <f>VLOOKUP(G1840,Table!$G$3:$H$21,2,FALSE)</f>
        <v>#N/A</v>
      </c>
      <c r="E1840" s="452"/>
      <c r="F1840" s="452"/>
      <c r="G1840" s="452" t="s">
        <v>844</v>
      </c>
      <c r="H1840" s="452"/>
      <c r="I1840" s="453" t="s">
        <v>844</v>
      </c>
      <c r="J1840" s="453"/>
      <c r="K1840" s="461"/>
      <c r="L1840" s="461"/>
      <c r="M1840" s="461"/>
      <c r="N1840" s="461"/>
      <c r="O1840" s="461"/>
      <c r="P1840" s="461"/>
      <c r="Q1840" s="461"/>
      <c r="R1840" s="461"/>
      <c r="S1840" s="461"/>
      <c r="T1840" s="461"/>
      <c r="U1840" s="461"/>
      <c r="V1840" s="461"/>
    </row>
    <row r="1841" spans="1:22" s="455" customFormat="1" hidden="1">
      <c r="A1841" s="455" t="str">
        <f t="shared" si="56"/>
        <v>T</v>
      </c>
      <c r="B1841" s="455">
        <f>VLOOKUP(LEFT($C$3:$C$2600,3),Table!$D$2:$E$88,2,FALSE)</f>
        <v>0</v>
      </c>
      <c r="C1841" s="455" t="str">
        <f t="shared" si="57"/>
        <v>T</v>
      </c>
      <c r="D1841" s="455" t="e">
        <f>VLOOKUP(G1841,Table!$G$3:$H$21,2,FALSE)</f>
        <v>#N/A</v>
      </c>
      <c r="E1841" s="452"/>
      <c r="F1841" s="452"/>
      <c r="G1841" s="452" t="s">
        <v>844</v>
      </c>
      <c r="H1841" s="452"/>
      <c r="I1841" s="453" t="s">
        <v>844</v>
      </c>
      <c r="J1841" s="453"/>
      <c r="K1841" s="461"/>
      <c r="L1841" s="461"/>
      <c r="M1841" s="461"/>
      <c r="N1841" s="461"/>
      <c r="O1841" s="461"/>
      <c r="P1841" s="461"/>
      <c r="Q1841" s="461"/>
      <c r="R1841" s="461"/>
      <c r="S1841" s="461"/>
      <c r="T1841" s="461"/>
      <c r="U1841" s="461"/>
      <c r="V1841" s="461"/>
    </row>
    <row r="1842" spans="1:22" s="455" customFormat="1" hidden="1">
      <c r="A1842" s="455" t="str">
        <f t="shared" si="56"/>
        <v>T</v>
      </c>
      <c r="B1842" s="455">
        <f>VLOOKUP(LEFT($C$3:$C$2600,3),Table!$D$2:$E$88,2,FALSE)</f>
        <v>0</v>
      </c>
      <c r="C1842" s="455" t="str">
        <f t="shared" si="57"/>
        <v>T</v>
      </c>
      <c r="D1842" s="455" t="e">
        <f>VLOOKUP(G1842,Table!$G$3:$H$21,2,FALSE)</f>
        <v>#N/A</v>
      </c>
      <c r="E1842" s="452"/>
      <c r="F1842" s="452"/>
      <c r="G1842" s="452" t="s">
        <v>844</v>
      </c>
      <c r="H1842" s="452"/>
      <c r="I1842" s="453" t="s">
        <v>844</v>
      </c>
      <c r="J1842" s="453"/>
      <c r="K1842" s="461"/>
      <c r="L1842" s="461"/>
      <c r="M1842" s="461"/>
      <c r="N1842" s="461"/>
      <c r="O1842" s="461"/>
      <c r="P1842" s="461"/>
      <c r="Q1842" s="461"/>
      <c r="R1842" s="461"/>
      <c r="S1842" s="461"/>
      <c r="T1842" s="461"/>
      <c r="U1842" s="461"/>
      <c r="V1842" s="461"/>
    </row>
    <row r="1843" spans="1:22" s="455" customFormat="1" hidden="1">
      <c r="A1843" s="455" t="str">
        <f t="shared" si="56"/>
        <v>T</v>
      </c>
      <c r="B1843" s="455">
        <f>VLOOKUP(LEFT($C$3:$C$2600,3),Table!$D$2:$E$88,2,FALSE)</f>
        <v>0</v>
      </c>
      <c r="C1843" s="455" t="str">
        <f t="shared" si="57"/>
        <v>T</v>
      </c>
      <c r="D1843" s="455" t="e">
        <f>VLOOKUP(G1843,Table!$G$3:$H$21,2,FALSE)</f>
        <v>#N/A</v>
      </c>
      <c r="E1843" s="452"/>
      <c r="F1843" s="452"/>
      <c r="G1843" s="452" t="s">
        <v>844</v>
      </c>
      <c r="H1843" s="452"/>
      <c r="I1843" s="453" t="s">
        <v>844</v>
      </c>
      <c r="J1843" s="453"/>
      <c r="K1843" s="461"/>
      <c r="L1843" s="461"/>
      <c r="M1843" s="461"/>
      <c r="N1843" s="461"/>
      <c r="O1843" s="461"/>
      <c r="P1843" s="461"/>
      <c r="Q1843" s="461"/>
      <c r="R1843" s="461"/>
      <c r="S1843" s="461"/>
      <c r="T1843" s="461"/>
      <c r="U1843" s="461"/>
      <c r="V1843" s="461"/>
    </row>
    <row r="1844" spans="1:22" s="455" customFormat="1" hidden="1">
      <c r="A1844" s="455" t="str">
        <f t="shared" si="56"/>
        <v>T</v>
      </c>
      <c r="B1844" s="455">
        <f>VLOOKUP(LEFT($C$3:$C$2600,3),Table!$D$2:$E$88,2,FALSE)</f>
        <v>0</v>
      </c>
      <c r="C1844" s="455" t="str">
        <f t="shared" si="57"/>
        <v>T</v>
      </c>
      <c r="D1844" s="455" t="e">
        <f>VLOOKUP(G1844,Table!$G$3:$H$21,2,FALSE)</f>
        <v>#N/A</v>
      </c>
      <c r="E1844" s="452"/>
      <c r="F1844" s="452"/>
      <c r="G1844" s="452" t="s">
        <v>844</v>
      </c>
      <c r="H1844" s="452"/>
      <c r="I1844" s="453" t="s">
        <v>844</v>
      </c>
      <c r="J1844" s="453"/>
      <c r="K1844" s="461"/>
      <c r="L1844" s="461"/>
      <c r="M1844" s="461"/>
      <c r="N1844" s="461"/>
      <c r="O1844" s="461"/>
      <c r="P1844" s="461"/>
      <c r="Q1844" s="461"/>
      <c r="R1844" s="461"/>
      <c r="S1844" s="461"/>
      <c r="T1844" s="461"/>
      <c r="U1844" s="461"/>
      <c r="V1844" s="461"/>
    </row>
    <row r="1845" spans="1:22" s="455" customFormat="1" hidden="1">
      <c r="A1845" s="455" t="str">
        <f t="shared" si="56"/>
        <v>T</v>
      </c>
      <c r="B1845" s="455">
        <f>VLOOKUP(LEFT($C$3:$C$2600,3),Table!$D$2:$E$88,2,FALSE)</f>
        <v>0</v>
      </c>
      <c r="C1845" s="455" t="str">
        <f t="shared" si="57"/>
        <v>T</v>
      </c>
      <c r="D1845" s="455" t="e">
        <f>VLOOKUP(G1845,Table!$G$3:$H$21,2,FALSE)</f>
        <v>#N/A</v>
      </c>
      <c r="E1845" s="452"/>
      <c r="F1845" s="452"/>
      <c r="G1845" s="452" t="s">
        <v>844</v>
      </c>
      <c r="H1845" s="452"/>
      <c r="I1845" s="453" t="s">
        <v>844</v>
      </c>
      <c r="J1845" s="453"/>
      <c r="K1845" s="461"/>
      <c r="L1845" s="461"/>
      <c r="M1845" s="461"/>
      <c r="N1845" s="461"/>
      <c r="O1845" s="461"/>
      <c r="P1845" s="461"/>
      <c r="Q1845" s="461"/>
      <c r="R1845" s="461"/>
      <c r="S1845" s="461"/>
      <c r="T1845" s="461"/>
      <c r="U1845" s="461"/>
      <c r="V1845" s="461"/>
    </row>
    <row r="1846" spans="1:22" s="455" customFormat="1" hidden="1">
      <c r="A1846" s="455" t="str">
        <f t="shared" si="56"/>
        <v>T</v>
      </c>
      <c r="B1846" s="455">
        <f>VLOOKUP(LEFT($C$3:$C$2600,3),Table!$D$2:$E$88,2,FALSE)</f>
        <v>0</v>
      </c>
      <c r="C1846" s="455" t="str">
        <f t="shared" si="57"/>
        <v>T</v>
      </c>
      <c r="D1846" s="455" t="e">
        <f>VLOOKUP(G1846,Table!$G$3:$H$21,2,FALSE)</f>
        <v>#N/A</v>
      </c>
      <c r="E1846" s="452"/>
      <c r="F1846" s="452"/>
      <c r="G1846" s="452" t="s">
        <v>844</v>
      </c>
      <c r="H1846" s="452"/>
      <c r="I1846" s="453" t="s">
        <v>844</v>
      </c>
      <c r="J1846" s="453"/>
      <c r="K1846" s="461"/>
      <c r="L1846" s="461"/>
      <c r="M1846" s="461"/>
      <c r="N1846" s="461"/>
      <c r="O1846" s="461"/>
      <c r="P1846" s="461"/>
      <c r="Q1846" s="461"/>
      <c r="R1846" s="461"/>
      <c r="S1846" s="461"/>
      <c r="T1846" s="461"/>
      <c r="U1846" s="461"/>
      <c r="V1846" s="461"/>
    </row>
    <row r="1847" spans="1:22" s="455" customFormat="1" hidden="1">
      <c r="A1847" s="455" t="str">
        <f t="shared" si="56"/>
        <v>T</v>
      </c>
      <c r="B1847" s="455">
        <f>VLOOKUP(LEFT($C$3:$C$2600,3),Table!$D$2:$E$88,2,FALSE)</f>
        <v>0</v>
      </c>
      <c r="C1847" s="455" t="str">
        <f t="shared" si="57"/>
        <v>T</v>
      </c>
      <c r="D1847" s="455" t="e">
        <f>VLOOKUP(G1847,Table!$G$3:$H$21,2,FALSE)</f>
        <v>#N/A</v>
      </c>
      <c r="E1847" s="452"/>
      <c r="F1847" s="452"/>
      <c r="G1847" s="452" t="s">
        <v>844</v>
      </c>
      <c r="H1847" s="452"/>
      <c r="I1847" s="453" t="s">
        <v>844</v>
      </c>
      <c r="J1847" s="453"/>
      <c r="K1847" s="461"/>
      <c r="L1847" s="461"/>
      <c r="M1847" s="461"/>
      <c r="N1847" s="461"/>
      <c r="O1847" s="461"/>
      <c r="P1847" s="461"/>
      <c r="Q1847" s="461"/>
      <c r="R1847" s="461"/>
      <c r="S1847" s="461"/>
      <c r="T1847" s="461"/>
      <c r="U1847" s="461"/>
      <c r="V1847" s="461"/>
    </row>
    <row r="1848" spans="1:22" s="455" customFormat="1" hidden="1">
      <c r="A1848" s="455" t="str">
        <f t="shared" si="56"/>
        <v>T</v>
      </c>
      <c r="B1848" s="455">
        <f>VLOOKUP(LEFT($C$3:$C$2600,3),Table!$D$2:$E$88,2,FALSE)</f>
        <v>0</v>
      </c>
      <c r="C1848" s="455" t="str">
        <f t="shared" si="57"/>
        <v>T</v>
      </c>
      <c r="D1848" s="455" t="e">
        <f>VLOOKUP(G1848,Table!$G$3:$H$21,2,FALSE)</f>
        <v>#N/A</v>
      </c>
      <c r="E1848" s="452"/>
      <c r="F1848" s="452"/>
      <c r="G1848" s="452" t="s">
        <v>844</v>
      </c>
      <c r="H1848" s="452"/>
      <c r="I1848" s="453" t="s">
        <v>844</v>
      </c>
      <c r="J1848" s="453"/>
      <c r="K1848" s="461"/>
      <c r="L1848" s="461"/>
      <c r="M1848" s="461"/>
      <c r="N1848" s="461"/>
      <c r="O1848" s="461"/>
      <c r="P1848" s="461"/>
      <c r="Q1848" s="461"/>
      <c r="R1848" s="461"/>
      <c r="S1848" s="461"/>
      <c r="T1848" s="461"/>
      <c r="U1848" s="461"/>
      <c r="V1848" s="461"/>
    </row>
    <row r="1849" spans="1:22" s="455" customFormat="1" hidden="1">
      <c r="A1849" s="455" t="str">
        <f t="shared" si="56"/>
        <v>T</v>
      </c>
      <c r="B1849" s="455">
        <f>VLOOKUP(LEFT($C$3:$C$2600,3),Table!$D$2:$E$88,2,FALSE)</f>
        <v>0</v>
      </c>
      <c r="C1849" s="455" t="str">
        <f t="shared" si="57"/>
        <v>T</v>
      </c>
      <c r="D1849" s="455" t="e">
        <f>VLOOKUP(G1849,Table!$G$3:$H$21,2,FALSE)</f>
        <v>#N/A</v>
      </c>
      <c r="E1849" s="452"/>
      <c r="F1849" s="452"/>
      <c r="G1849" s="452" t="s">
        <v>844</v>
      </c>
      <c r="H1849" s="452"/>
      <c r="I1849" s="453" t="s">
        <v>844</v>
      </c>
      <c r="J1849" s="453"/>
      <c r="K1849" s="461"/>
      <c r="L1849" s="461"/>
      <c r="M1849" s="461"/>
      <c r="N1849" s="461"/>
      <c r="O1849" s="461"/>
      <c r="P1849" s="461"/>
      <c r="Q1849" s="461"/>
      <c r="R1849" s="461"/>
      <c r="S1849" s="461"/>
      <c r="T1849" s="461"/>
      <c r="U1849" s="461"/>
      <c r="V1849" s="461"/>
    </row>
    <row r="1850" spans="1:22" s="455" customFormat="1" hidden="1">
      <c r="A1850" s="455" t="str">
        <f t="shared" si="56"/>
        <v>T</v>
      </c>
      <c r="B1850" s="455">
        <f>VLOOKUP(LEFT($C$3:$C$2600,3),Table!$D$2:$E$88,2,FALSE)</f>
        <v>0</v>
      </c>
      <c r="C1850" s="455" t="str">
        <f t="shared" si="57"/>
        <v>T</v>
      </c>
      <c r="D1850" s="455" t="e">
        <f>VLOOKUP(G1850,Table!$G$3:$H$21,2,FALSE)</f>
        <v>#N/A</v>
      </c>
      <c r="E1850" s="452"/>
      <c r="F1850" s="452"/>
      <c r="G1850" s="452" t="s">
        <v>844</v>
      </c>
      <c r="H1850" s="452"/>
      <c r="I1850" s="453" t="s">
        <v>844</v>
      </c>
      <c r="J1850" s="453"/>
      <c r="K1850" s="461"/>
      <c r="L1850" s="461"/>
      <c r="M1850" s="461"/>
      <c r="N1850" s="461"/>
      <c r="O1850" s="461"/>
      <c r="P1850" s="461"/>
      <c r="Q1850" s="461"/>
      <c r="R1850" s="461"/>
      <c r="S1850" s="461"/>
      <c r="T1850" s="461"/>
      <c r="U1850" s="461"/>
      <c r="V1850" s="461"/>
    </row>
    <row r="1851" spans="1:22" s="455" customFormat="1" hidden="1">
      <c r="A1851" s="455" t="str">
        <f t="shared" si="56"/>
        <v>T</v>
      </c>
      <c r="B1851" s="455">
        <f>VLOOKUP(LEFT($C$3:$C$2600,3),Table!$D$2:$E$88,2,FALSE)</f>
        <v>0</v>
      </c>
      <c r="C1851" s="455" t="str">
        <f t="shared" si="57"/>
        <v>T</v>
      </c>
      <c r="D1851" s="455" t="e">
        <f>VLOOKUP(G1851,Table!$G$3:$H$21,2,FALSE)</f>
        <v>#N/A</v>
      </c>
      <c r="E1851" s="452"/>
      <c r="F1851" s="452"/>
      <c r="G1851" s="452" t="s">
        <v>844</v>
      </c>
      <c r="H1851" s="452"/>
      <c r="I1851" s="453" t="s">
        <v>844</v>
      </c>
      <c r="J1851" s="453"/>
      <c r="K1851" s="461"/>
      <c r="L1851" s="461"/>
      <c r="M1851" s="461"/>
      <c r="N1851" s="461"/>
      <c r="O1851" s="461"/>
      <c r="P1851" s="461"/>
      <c r="Q1851" s="461"/>
      <c r="R1851" s="461"/>
      <c r="S1851" s="461"/>
      <c r="T1851" s="461"/>
      <c r="U1851" s="461"/>
      <c r="V1851" s="461"/>
    </row>
    <row r="1852" spans="1:22" s="455" customFormat="1" hidden="1">
      <c r="A1852" s="455" t="str">
        <f t="shared" si="56"/>
        <v>T</v>
      </c>
      <c r="B1852" s="455">
        <f>VLOOKUP(LEFT($C$3:$C$2600,3),Table!$D$2:$E$88,2,FALSE)</f>
        <v>0</v>
      </c>
      <c r="C1852" s="455" t="str">
        <f t="shared" si="57"/>
        <v>T</v>
      </c>
      <c r="D1852" s="455" t="e">
        <f>VLOOKUP(G1852,Table!$G$3:$H$21,2,FALSE)</f>
        <v>#N/A</v>
      </c>
      <c r="E1852" s="452"/>
      <c r="F1852" s="452"/>
      <c r="G1852" s="452" t="s">
        <v>844</v>
      </c>
      <c r="H1852" s="452"/>
      <c r="I1852" s="453" t="s">
        <v>844</v>
      </c>
      <c r="J1852" s="453"/>
      <c r="K1852" s="461"/>
      <c r="L1852" s="461"/>
      <c r="M1852" s="461"/>
      <c r="N1852" s="461"/>
      <c r="O1852" s="461"/>
      <c r="P1852" s="461"/>
      <c r="Q1852" s="461"/>
      <c r="R1852" s="461"/>
      <c r="S1852" s="461"/>
      <c r="T1852" s="461"/>
      <c r="U1852" s="461"/>
      <c r="V1852" s="461"/>
    </row>
    <row r="1853" spans="1:22" s="455" customFormat="1" hidden="1">
      <c r="A1853" s="455" t="str">
        <f t="shared" si="56"/>
        <v>T</v>
      </c>
      <c r="B1853" s="455">
        <f>VLOOKUP(LEFT($C$3:$C$2600,3),Table!$D$2:$E$88,2,FALSE)</f>
        <v>0</v>
      </c>
      <c r="C1853" s="455" t="str">
        <f t="shared" si="57"/>
        <v>T</v>
      </c>
      <c r="D1853" s="455" t="e">
        <f>VLOOKUP(G1853,Table!$G$3:$H$21,2,FALSE)</f>
        <v>#N/A</v>
      </c>
      <c r="E1853" s="452"/>
      <c r="F1853" s="452"/>
      <c r="G1853" s="452" t="s">
        <v>844</v>
      </c>
      <c r="H1853" s="452"/>
      <c r="I1853" s="453" t="s">
        <v>844</v>
      </c>
      <c r="J1853" s="453"/>
      <c r="K1853" s="461"/>
      <c r="L1853" s="461"/>
      <c r="M1853" s="461"/>
      <c r="N1853" s="461"/>
      <c r="O1853" s="461"/>
      <c r="P1853" s="461"/>
      <c r="Q1853" s="461"/>
      <c r="R1853" s="461"/>
      <c r="S1853" s="461"/>
      <c r="T1853" s="461"/>
      <c r="U1853" s="461"/>
      <c r="V1853" s="461"/>
    </row>
    <row r="1854" spans="1:22" s="455" customFormat="1" hidden="1">
      <c r="A1854" s="455" t="str">
        <f t="shared" si="56"/>
        <v>T</v>
      </c>
      <c r="B1854" s="455">
        <f>VLOOKUP(LEFT($C$3:$C$2600,3),Table!$D$2:$E$88,2,FALSE)</f>
        <v>0</v>
      </c>
      <c r="C1854" s="455" t="str">
        <f t="shared" si="57"/>
        <v>T</v>
      </c>
      <c r="D1854" s="455" t="e">
        <f>VLOOKUP(G1854,Table!$G$3:$H$21,2,FALSE)</f>
        <v>#N/A</v>
      </c>
      <c r="E1854" s="452"/>
      <c r="F1854" s="452"/>
      <c r="G1854" s="452" t="s">
        <v>844</v>
      </c>
      <c r="H1854" s="452"/>
      <c r="I1854" s="453" t="s">
        <v>844</v>
      </c>
      <c r="J1854" s="453"/>
      <c r="K1854" s="461"/>
      <c r="L1854" s="461"/>
      <c r="M1854" s="461"/>
      <c r="N1854" s="461"/>
      <c r="O1854" s="461"/>
      <c r="P1854" s="461"/>
      <c r="Q1854" s="461"/>
      <c r="R1854" s="461"/>
      <c r="S1854" s="461"/>
      <c r="T1854" s="461"/>
      <c r="U1854" s="461"/>
      <c r="V1854" s="461"/>
    </row>
    <row r="1855" spans="1:22" s="455" customFormat="1" hidden="1">
      <c r="A1855" s="455" t="str">
        <f t="shared" si="56"/>
        <v>T</v>
      </c>
      <c r="B1855" s="455">
        <f>VLOOKUP(LEFT($C$3:$C$2600,3),Table!$D$2:$E$88,2,FALSE)</f>
        <v>0</v>
      </c>
      <c r="C1855" s="455" t="str">
        <f t="shared" si="57"/>
        <v>T</v>
      </c>
      <c r="D1855" s="455" t="e">
        <f>VLOOKUP(G1855,Table!$G$3:$H$21,2,FALSE)</f>
        <v>#N/A</v>
      </c>
      <c r="E1855" s="452"/>
      <c r="F1855" s="452"/>
      <c r="G1855" s="452" t="s">
        <v>844</v>
      </c>
      <c r="H1855" s="452"/>
      <c r="I1855" s="453" t="s">
        <v>844</v>
      </c>
      <c r="J1855" s="453"/>
      <c r="K1855" s="461"/>
      <c r="L1855" s="461"/>
      <c r="M1855" s="461"/>
      <c r="N1855" s="461"/>
      <c r="O1855" s="461"/>
      <c r="P1855" s="461"/>
      <c r="Q1855" s="461"/>
      <c r="R1855" s="461"/>
      <c r="S1855" s="461"/>
      <c r="T1855" s="461"/>
      <c r="U1855" s="461"/>
      <c r="V1855" s="461"/>
    </row>
    <row r="1856" spans="1:22" s="455" customFormat="1" hidden="1">
      <c r="A1856" s="455" t="str">
        <f t="shared" si="56"/>
        <v>T</v>
      </c>
      <c r="B1856" s="455">
        <f>VLOOKUP(LEFT($C$3:$C$2600,3),Table!$D$2:$E$88,2,FALSE)</f>
        <v>0</v>
      </c>
      <c r="C1856" s="455" t="str">
        <f t="shared" si="57"/>
        <v>T</v>
      </c>
      <c r="D1856" s="455" t="e">
        <f>VLOOKUP(G1856,Table!$G$3:$H$21,2,FALSE)</f>
        <v>#N/A</v>
      </c>
      <c r="E1856" s="452"/>
      <c r="F1856" s="452"/>
      <c r="G1856" s="452" t="s">
        <v>844</v>
      </c>
      <c r="H1856" s="452"/>
      <c r="I1856" s="453" t="s">
        <v>844</v>
      </c>
      <c r="J1856" s="453"/>
      <c r="K1856" s="461"/>
      <c r="L1856" s="461"/>
      <c r="M1856" s="461"/>
      <c r="N1856" s="461"/>
      <c r="O1856" s="461"/>
      <c r="P1856" s="461"/>
      <c r="Q1856" s="461"/>
      <c r="R1856" s="461"/>
      <c r="S1856" s="461"/>
      <c r="T1856" s="461"/>
      <c r="U1856" s="461"/>
      <c r="V1856" s="461"/>
    </row>
    <row r="1857" spans="1:22" s="455" customFormat="1" hidden="1">
      <c r="A1857" s="455" t="str">
        <f t="shared" si="56"/>
        <v>T</v>
      </c>
      <c r="B1857" s="455">
        <f>VLOOKUP(LEFT($C$3:$C$2600,3),Table!$D$2:$E$88,2,FALSE)</f>
        <v>0</v>
      </c>
      <c r="C1857" s="455" t="str">
        <f t="shared" si="57"/>
        <v>T</v>
      </c>
      <c r="D1857" s="455" t="e">
        <f>VLOOKUP(G1857,Table!$G$3:$H$21,2,FALSE)</f>
        <v>#N/A</v>
      </c>
      <c r="E1857" s="452"/>
      <c r="F1857" s="452"/>
      <c r="G1857" s="452" t="s">
        <v>844</v>
      </c>
      <c r="H1857" s="452"/>
      <c r="I1857" s="453" t="s">
        <v>844</v>
      </c>
      <c r="J1857" s="453"/>
      <c r="K1857" s="461"/>
      <c r="L1857" s="461"/>
      <c r="M1857" s="461"/>
      <c r="N1857" s="461"/>
      <c r="O1857" s="461"/>
      <c r="P1857" s="461"/>
      <c r="Q1857" s="461"/>
      <c r="R1857" s="461"/>
      <c r="S1857" s="461"/>
      <c r="T1857" s="461"/>
      <c r="U1857" s="461"/>
      <c r="V1857" s="461"/>
    </row>
    <row r="1858" spans="1:22" s="455" customFormat="1" hidden="1">
      <c r="A1858" s="455" t="str">
        <f t="shared" si="56"/>
        <v>T</v>
      </c>
      <c r="B1858" s="455">
        <f>VLOOKUP(LEFT($C$3:$C$2600,3),Table!$D$2:$E$88,2,FALSE)</f>
        <v>0</v>
      </c>
      <c r="C1858" s="455" t="str">
        <f t="shared" si="57"/>
        <v>T</v>
      </c>
      <c r="D1858" s="455" t="e">
        <f>VLOOKUP(G1858,Table!$G$3:$H$21,2,FALSE)</f>
        <v>#N/A</v>
      </c>
      <c r="E1858" s="452"/>
      <c r="F1858" s="452"/>
      <c r="G1858" s="452" t="s">
        <v>844</v>
      </c>
      <c r="H1858" s="452"/>
      <c r="I1858" s="453" t="s">
        <v>844</v>
      </c>
      <c r="J1858" s="453"/>
      <c r="K1858" s="461"/>
      <c r="L1858" s="461"/>
      <c r="M1858" s="461"/>
      <c r="N1858" s="461"/>
      <c r="O1858" s="461"/>
      <c r="P1858" s="461"/>
      <c r="Q1858" s="461"/>
      <c r="R1858" s="461"/>
      <c r="S1858" s="461"/>
      <c r="T1858" s="461"/>
      <c r="U1858" s="461"/>
      <c r="V1858" s="461"/>
    </row>
    <row r="1859" spans="1:22" s="455" customFormat="1" hidden="1">
      <c r="A1859" s="455" t="str">
        <f t="shared" si="56"/>
        <v>T</v>
      </c>
      <c r="B1859" s="455">
        <f>VLOOKUP(LEFT($C$3:$C$2600,3),Table!$D$2:$E$88,2,FALSE)</f>
        <v>0</v>
      </c>
      <c r="C1859" s="455" t="str">
        <f t="shared" si="57"/>
        <v>T</v>
      </c>
      <c r="D1859" s="455" t="e">
        <f>VLOOKUP(G1859,Table!$G$3:$H$21,2,FALSE)</f>
        <v>#N/A</v>
      </c>
      <c r="E1859" s="452"/>
      <c r="F1859" s="452"/>
      <c r="G1859" s="452" t="s">
        <v>844</v>
      </c>
      <c r="H1859" s="452"/>
      <c r="I1859" s="453" t="s">
        <v>844</v>
      </c>
      <c r="J1859" s="453"/>
      <c r="K1859" s="461"/>
      <c r="L1859" s="461"/>
      <c r="M1859" s="461"/>
      <c r="N1859" s="461"/>
      <c r="O1859" s="461"/>
      <c r="P1859" s="461"/>
      <c r="Q1859" s="461"/>
      <c r="R1859" s="461"/>
      <c r="S1859" s="461"/>
      <c r="T1859" s="461"/>
      <c r="U1859" s="461"/>
      <c r="V1859" s="461"/>
    </row>
    <row r="1860" spans="1:22" s="455" customFormat="1" hidden="1">
      <c r="A1860" s="455" t="str">
        <f t="shared" ref="A1860:A1923" si="58">F1860&amp;G1860</f>
        <v>T</v>
      </c>
      <c r="B1860" s="455">
        <f>VLOOKUP(LEFT($C$3:$C$2600,3),Table!$D$2:$E$88,2,FALSE)</f>
        <v>0</v>
      </c>
      <c r="C1860" s="455" t="str">
        <f t="shared" ref="C1860:C1923" si="59">IF(ISNA(D1860),G1860,D1860)</f>
        <v>T</v>
      </c>
      <c r="D1860" s="455" t="e">
        <f>VLOOKUP(G1860,Table!$G$3:$H$21,2,FALSE)</f>
        <v>#N/A</v>
      </c>
      <c r="E1860" s="452"/>
      <c r="F1860" s="452"/>
      <c r="G1860" s="452" t="s">
        <v>844</v>
      </c>
      <c r="H1860" s="452"/>
      <c r="I1860" s="453" t="s">
        <v>844</v>
      </c>
      <c r="J1860" s="453"/>
      <c r="K1860" s="461"/>
      <c r="L1860" s="461"/>
      <c r="M1860" s="461"/>
      <c r="N1860" s="461"/>
      <c r="O1860" s="461"/>
      <c r="P1860" s="461"/>
      <c r="Q1860" s="461"/>
      <c r="R1860" s="461"/>
      <c r="S1860" s="461"/>
      <c r="T1860" s="461"/>
      <c r="U1860" s="461"/>
      <c r="V1860" s="461"/>
    </row>
    <row r="1861" spans="1:22" s="455" customFormat="1" hidden="1">
      <c r="A1861" s="455" t="str">
        <f t="shared" si="58"/>
        <v>T</v>
      </c>
      <c r="B1861" s="455">
        <f>VLOOKUP(LEFT($C$3:$C$2600,3),Table!$D$2:$E$88,2,FALSE)</f>
        <v>0</v>
      </c>
      <c r="C1861" s="455" t="str">
        <f t="shared" si="59"/>
        <v>T</v>
      </c>
      <c r="D1861" s="455" t="e">
        <f>VLOOKUP(G1861,Table!$G$3:$H$21,2,FALSE)</f>
        <v>#N/A</v>
      </c>
      <c r="E1861" s="452"/>
      <c r="F1861" s="452"/>
      <c r="G1861" s="452" t="s">
        <v>844</v>
      </c>
      <c r="H1861" s="452"/>
      <c r="I1861" s="453" t="s">
        <v>844</v>
      </c>
      <c r="J1861" s="453"/>
      <c r="K1861" s="461"/>
      <c r="L1861" s="461"/>
      <c r="M1861" s="461"/>
      <c r="N1861" s="461"/>
      <c r="O1861" s="461"/>
      <c r="P1861" s="461"/>
      <c r="Q1861" s="461"/>
      <c r="R1861" s="461"/>
      <c r="S1861" s="461"/>
      <c r="T1861" s="461"/>
      <c r="U1861" s="461"/>
      <c r="V1861" s="461"/>
    </row>
    <row r="1862" spans="1:22" s="455" customFormat="1" hidden="1">
      <c r="A1862" s="455" t="str">
        <f t="shared" si="58"/>
        <v>T</v>
      </c>
      <c r="B1862" s="455">
        <f>VLOOKUP(LEFT($C$3:$C$2600,3),Table!$D$2:$E$88,2,FALSE)</f>
        <v>0</v>
      </c>
      <c r="C1862" s="455" t="str">
        <f t="shared" si="59"/>
        <v>T</v>
      </c>
      <c r="D1862" s="455" t="e">
        <f>VLOOKUP(G1862,Table!$G$3:$H$21,2,FALSE)</f>
        <v>#N/A</v>
      </c>
      <c r="E1862" s="452"/>
      <c r="F1862" s="452"/>
      <c r="G1862" s="452" t="s">
        <v>844</v>
      </c>
      <c r="H1862" s="452"/>
      <c r="I1862" s="453" t="s">
        <v>844</v>
      </c>
      <c r="J1862" s="453"/>
      <c r="K1862" s="461"/>
      <c r="L1862" s="461"/>
      <c r="M1862" s="461"/>
      <c r="N1862" s="461"/>
      <c r="O1862" s="461"/>
      <c r="P1862" s="461"/>
      <c r="Q1862" s="461"/>
      <c r="R1862" s="461"/>
      <c r="S1862" s="461"/>
      <c r="T1862" s="461"/>
      <c r="U1862" s="461"/>
      <c r="V1862" s="461"/>
    </row>
    <row r="1863" spans="1:22" s="455" customFormat="1" hidden="1">
      <c r="A1863" s="455" t="str">
        <f t="shared" si="58"/>
        <v>T</v>
      </c>
      <c r="B1863" s="455">
        <f>VLOOKUP(LEFT($C$3:$C$2600,3),Table!$D$2:$E$88,2,FALSE)</f>
        <v>0</v>
      </c>
      <c r="C1863" s="455" t="str">
        <f t="shared" si="59"/>
        <v>T</v>
      </c>
      <c r="D1863" s="455" t="e">
        <f>VLOOKUP(G1863,Table!$G$3:$H$21,2,FALSE)</f>
        <v>#N/A</v>
      </c>
      <c r="E1863" s="452"/>
      <c r="F1863" s="452"/>
      <c r="G1863" s="452" t="s">
        <v>844</v>
      </c>
      <c r="H1863" s="452"/>
      <c r="I1863" s="453" t="s">
        <v>844</v>
      </c>
      <c r="J1863" s="453"/>
      <c r="K1863" s="461"/>
      <c r="L1863" s="461"/>
      <c r="M1863" s="461"/>
      <c r="N1863" s="461"/>
      <c r="O1863" s="461"/>
      <c r="P1863" s="461"/>
      <c r="Q1863" s="461"/>
      <c r="R1863" s="461"/>
      <c r="S1863" s="461"/>
      <c r="T1863" s="461"/>
      <c r="U1863" s="461"/>
      <c r="V1863" s="461"/>
    </row>
    <row r="1864" spans="1:22" s="455" customFormat="1" hidden="1">
      <c r="A1864" s="455" t="str">
        <f t="shared" si="58"/>
        <v>T</v>
      </c>
      <c r="B1864" s="455">
        <f>VLOOKUP(LEFT($C$3:$C$2600,3),Table!$D$2:$E$88,2,FALSE)</f>
        <v>0</v>
      </c>
      <c r="C1864" s="455" t="str">
        <f t="shared" si="59"/>
        <v>T</v>
      </c>
      <c r="D1864" s="455" t="e">
        <f>VLOOKUP(G1864,Table!$G$3:$H$21,2,FALSE)</f>
        <v>#N/A</v>
      </c>
      <c r="E1864" s="452"/>
      <c r="F1864" s="452"/>
      <c r="G1864" s="452" t="s">
        <v>844</v>
      </c>
      <c r="H1864" s="452"/>
      <c r="I1864" s="453" t="s">
        <v>844</v>
      </c>
      <c r="J1864" s="453"/>
      <c r="K1864" s="461"/>
      <c r="L1864" s="461"/>
      <c r="M1864" s="461"/>
      <c r="N1864" s="461"/>
      <c r="O1864" s="461"/>
      <c r="P1864" s="461"/>
      <c r="Q1864" s="461"/>
      <c r="R1864" s="461"/>
      <c r="S1864" s="461"/>
      <c r="T1864" s="461"/>
      <c r="U1864" s="461"/>
      <c r="V1864" s="461"/>
    </row>
    <row r="1865" spans="1:22" s="455" customFormat="1" hidden="1">
      <c r="A1865" s="455" t="str">
        <f t="shared" si="58"/>
        <v>T</v>
      </c>
      <c r="B1865" s="455">
        <f>VLOOKUP(LEFT($C$3:$C$2600,3),Table!$D$2:$E$88,2,FALSE)</f>
        <v>0</v>
      </c>
      <c r="C1865" s="455" t="str">
        <f t="shared" si="59"/>
        <v>T</v>
      </c>
      <c r="D1865" s="455" t="e">
        <f>VLOOKUP(G1865,Table!$G$3:$H$21,2,FALSE)</f>
        <v>#N/A</v>
      </c>
      <c r="E1865" s="452"/>
      <c r="F1865" s="452"/>
      <c r="G1865" s="452" t="s">
        <v>844</v>
      </c>
      <c r="H1865" s="452"/>
      <c r="I1865" s="453" t="s">
        <v>844</v>
      </c>
      <c r="J1865" s="453"/>
      <c r="K1865" s="461"/>
      <c r="L1865" s="461"/>
      <c r="M1865" s="461"/>
      <c r="N1865" s="461"/>
      <c r="O1865" s="461"/>
      <c r="P1865" s="461"/>
      <c r="Q1865" s="461"/>
      <c r="R1865" s="461"/>
      <c r="S1865" s="461"/>
      <c r="T1865" s="461"/>
      <c r="U1865" s="461"/>
      <c r="V1865" s="461"/>
    </row>
    <row r="1866" spans="1:22" s="455" customFormat="1" hidden="1">
      <c r="A1866" s="455" t="str">
        <f t="shared" si="58"/>
        <v>T</v>
      </c>
      <c r="B1866" s="455">
        <f>VLOOKUP(LEFT($C$3:$C$2600,3),Table!$D$2:$E$88,2,FALSE)</f>
        <v>0</v>
      </c>
      <c r="C1866" s="455" t="str">
        <f t="shared" si="59"/>
        <v>T</v>
      </c>
      <c r="D1866" s="455" t="e">
        <f>VLOOKUP(G1866,Table!$G$3:$H$21,2,FALSE)</f>
        <v>#N/A</v>
      </c>
      <c r="E1866" s="452"/>
      <c r="F1866" s="452"/>
      <c r="G1866" s="452" t="s">
        <v>844</v>
      </c>
      <c r="H1866" s="452"/>
      <c r="I1866" s="453" t="s">
        <v>844</v>
      </c>
      <c r="J1866" s="453"/>
      <c r="K1866" s="461"/>
      <c r="L1866" s="461"/>
      <c r="M1866" s="461"/>
      <c r="N1866" s="461"/>
      <c r="O1866" s="461"/>
      <c r="P1866" s="461"/>
      <c r="Q1866" s="461"/>
      <c r="R1866" s="461"/>
      <c r="S1866" s="461"/>
      <c r="T1866" s="461"/>
      <c r="U1866" s="461"/>
      <c r="V1866" s="461"/>
    </row>
    <row r="1867" spans="1:22" s="455" customFormat="1" hidden="1">
      <c r="A1867" s="455" t="str">
        <f t="shared" si="58"/>
        <v>T</v>
      </c>
      <c r="B1867" s="455">
        <f>VLOOKUP(LEFT($C$3:$C$2600,3),Table!$D$2:$E$88,2,FALSE)</f>
        <v>0</v>
      </c>
      <c r="C1867" s="455" t="str">
        <f t="shared" si="59"/>
        <v>T</v>
      </c>
      <c r="D1867" s="455" t="e">
        <f>VLOOKUP(G1867,Table!$G$3:$H$21,2,FALSE)</f>
        <v>#N/A</v>
      </c>
      <c r="E1867" s="452"/>
      <c r="F1867" s="452"/>
      <c r="G1867" s="452" t="s">
        <v>844</v>
      </c>
      <c r="H1867" s="452"/>
      <c r="I1867" s="453" t="s">
        <v>844</v>
      </c>
      <c r="J1867" s="453"/>
      <c r="K1867" s="461"/>
      <c r="L1867" s="461"/>
      <c r="M1867" s="461"/>
      <c r="N1867" s="461"/>
      <c r="O1867" s="461"/>
      <c r="P1867" s="461"/>
      <c r="Q1867" s="461"/>
      <c r="R1867" s="461"/>
      <c r="S1867" s="461"/>
      <c r="T1867" s="461"/>
      <c r="U1867" s="461"/>
      <c r="V1867" s="461"/>
    </row>
    <row r="1868" spans="1:22" s="455" customFormat="1" hidden="1">
      <c r="A1868" s="455" t="str">
        <f t="shared" si="58"/>
        <v>T</v>
      </c>
      <c r="B1868" s="455">
        <f>VLOOKUP(LEFT($C$3:$C$2600,3),Table!$D$2:$E$88,2,FALSE)</f>
        <v>0</v>
      </c>
      <c r="C1868" s="455" t="str">
        <f t="shared" si="59"/>
        <v>T</v>
      </c>
      <c r="D1868" s="455" t="e">
        <f>VLOOKUP(G1868,Table!$G$3:$H$21,2,FALSE)</f>
        <v>#N/A</v>
      </c>
      <c r="E1868" s="452"/>
      <c r="F1868" s="452"/>
      <c r="G1868" s="452" t="s">
        <v>844</v>
      </c>
      <c r="H1868" s="452"/>
      <c r="I1868" s="453" t="s">
        <v>844</v>
      </c>
      <c r="J1868" s="453"/>
      <c r="K1868" s="461"/>
      <c r="L1868" s="461"/>
      <c r="M1868" s="461"/>
      <c r="N1868" s="461"/>
      <c r="O1868" s="461"/>
      <c r="P1868" s="461"/>
      <c r="Q1868" s="461"/>
      <c r="R1868" s="461"/>
      <c r="S1868" s="461"/>
      <c r="T1868" s="461"/>
      <c r="U1868" s="461"/>
      <c r="V1868" s="461"/>
    </row>
    <row r="1869" spans="1:22" s="455" customFormat="1" hidden="1">
      <c r="A1869" s="455" t="str">
        <f t="shared" si="58"/>
        <v>T</v>
      </c>
      <c r="B1869" s="455">
        <f>VLOOKUP(LEFT($C$3:$C$2600,3),Table!$D$2:$E$88,2,FALSE)</f>
        <v>0</v>
      </c>
      <c r="C1869" s="455" t="str">
        <f t="shared" si="59"/>
        <v>T</v>
      </c>
      <c r="D1869" s="455" t="e">
        <f>VLOOKUP(G1869,Table!$G$3:$H$21,2,FALSE)</f>
        <v>#N/A</v>
      </c>
      <c r="E1869" s="452"/>
      <c r="F1869" s="452"/>
      <c r="G1869" s="452" t="s">
        <v>844</v>
      </c>
      <c r="H1869" s="452"/>
      <c r="I1869" s="453" t="s">
        <v>844</v>
      </c>
      <c r="J1869" s="453"/>
      <c r="K1869" s="461"/>
      <c r="L1869" s="461"/>
      <c r="M1869" s="461"/>
      <c r="N1869" s="461"/>
      <c r="O1869" s="461"/>
      <c r="P1869" s="461"/>
      <c r="Q1869" s="461"/>
      <c r="R1869" s="461"/>
      <c r="S1869" s="461"/>
      <c r="T1869" s="461"/>
      <c r="U1869" s="461"/>
      <c r="V1869" s="461"/>
    </row>
    <row r="1870" spans="1:22" s="455" customFormat="1" hidden="1">
      <c r="A1870" s="455" t="str">
        <f t="shared" si="58"/>
        <v>T</v>
      </c>
      <c r="B1870" s="455">
        <f>VLOOKUP(LEFT($C$3:$C$2600,3),Table!$D$2:$E$88,2,FALSE)</f>
        <v>0</v>
      </c>
      <c r="C1870" s="455" t="str">
        <f t="shared" si="59"/>
        <v>T</v>
      </c>
      <c r="D1870" s="455" t="e">
        <f>VLOOKUP(G1870,Table!$G$3:$H$21,2,FALSE)</f>
        <v>#N/A</v>
      </c>
      <c r="E1870" s="452"/>
      <c r="F1870" s="452"/>
      <c r="G1870" s="452" t="s">
        <v>844</v>
      </c>
      <c r="H1870" s="452"/>
      <c r="I1870" s="453" t="s">
        <v>844</v>
      </c>
      <c r="J1870" s="453"/>
      <c r="K1870" s="461"/>
      <c r="L1870" s="461"/>
      <c r="M1870" s="461"/>
      <c r="N1870" s="461"/>
      <c r="O1870" s="461"/>
      <c r="P1870" s="461"/>
      <c r="Q1870" s="461"/>
      <c r="R1870" s="461"/>
      <c r="S1870" s="461"/>
      <c r="T1870" s="461"/>
      <c r="U1870" s="461"/>
      <c r="V1870" s="461"/>
    </row>
    <row r="1871" spans="1:22" s="455" customFormat="1" hidden="1">
      <c r="A1871" s="455" t="str">
        <f t="shared" si="58"/>
        <v>T</v>
      </c>
      <c r="B1871" s="455">
        <f>VLOOKUP(LEFT($C$3:$C$2600,3),Table!$D$2:$E$88,2,FALSE)</f>
        <v>0</v>
      </c>
      <c r="C1871" s="455" t="str">
        <f t="shared" si="59"/>
        <v>T</v>
      </c>
      <c r="D1871" s="455" t="e">
        <f>VLOOKUP(G1871,Table!$G$3:$H$21,2,FALSE)</f>
        <v>#N/A</v>
      </c>
      <c r="E1871" s="452"/>
      <c r="F1871" s="452"/>
      <c r="G1871" s="452" t="s">
        <v>844</v>
      </c>
      <c r="H1871" s="452"/>
      <c r="I1871" s="453" t="s">
        <v>844</v>
      </c>
      <c r="J1871" s="453"/>
      <c r="K1871" s="461"/>
      <c r="L1871" s="461"/>
      <c r="M1871" s="461"/>
      <c r="N1871" s="461"/>
      <c r="O1871" s="461"/>
      <c r="P1871" s="461"/>
      <c r="Q1871" s="461"/>
      <c r="R1871" s="461"/>
      <c r="S1871" s="461"/>
      <c r="T1871" s="461"/>
      <c r="U1871" s="461"/>
      <c r="V1871" s="461"/>
    </row>
    <row r="1872" spans="1:22" s="455" customFormat="1" hidden="1">
      <c r="A1872" s="455" t="str">
        <f t="shared" si="58"/>
        <v>T</v>
      </c>
      <c r="B1872" s="455">
        <f>VLOOKUP(LEFT($C$3:$C$2600,3),Table!$D$2:$E$88,2,FALSE)</f>
        <v>0</v>
      </c>
      <c r="C1872" s="455" t="str">
        <f t="shared" si="59"/>
        <v>T</v>
      </c>
      <c r="D1872" s="455" t="e">
        <f>VLOOKUP(G1872,Table!$G$3:$H$21,2,FALSE)</f>
        <v>#N/A</v>
      </c>
      <c r="E1872" s="452"/>
      <c r="F1872" s="452"/>
      <c r="G1872" s="452" t="s">
        <v>844</v>
      </c>
      <c r="H1872" s="452"/>
      <c r="I1872" s="453" t="s">
        <v>844</v>
      </c>
      <c r="J1872" s="453"/>
      <c r="K1872" s="461"/>
      <c r="L1872" s="461"/>
      <c r="M1872" s="461"/>
      <c r="N1872" s="461"/>
      <c r="O1872" s="461"/>
      <c r="P1872" s="461"/>
      <c r="Q1872" s="461"/>
      <c r="R1872" s="461"/>
      <c r="S1872" s="461"/>
      <c r="T1872" s="461"/>
      <c r="U1872" s="461"/>
      <c r="V1872" s="461"/>
    </row>
    <row r="1873" spans="1:22" s="455" customFormat="1" hidden="1">
      <c r="A1873" s="455" t="str">
        <f t="shared" si="58"/>
        <v>T</v>
      </c>
      <c r="B1873" s="455">
        <f>VLOOKUP(LEFT($C$3:$C$2600,3),Table!$D$2:$E$88,2,FALSE)</f>
        <v>0</v>
      </c>
      <c r="C1873" s="455" t="str">
        <f t="shared" si="59"/>
        <v>T</v>
      </c>
      <c r="D1873" s="455" t="e">
        <f>VLOOKUP(G1873,Table!$G$3:$H$21,2,FALSE)</f>
        <v>#N/A</v>
      </c>
      <c r="E1873" s="452"/>
      <c r="F1873" s="452"/>
      <c r="G1873" s="452" t="s">
        <v>844</v>
      </c>
      <c r="H1873" s="452"/>
      <c r="I1873" s="453" t="s">
        <v>844</v>
      </c>
      <c r="J1873" s="453"/>
      <c r="K1873" s="461"/>
      <c r="L1873" s="461"/>
      <c r="M1873" s="461"/>
      <c r="N1873" s="461"/>
      <c r="O1873" s="461"/>
      <c r="P1873" s="461"/>
      <c r="Q1873" s="461"/>
      <c r="R1873" s="461"/>
      <c r="S1873" s="461"/>
      <c r="T1873" s="461"/>
      <c r="U1873" s="461"/>
      <c r="V1873" s="461"/>
    </row>
    <row r="1874" spans="1:22" s="455" customFormat="1" hidden="1">
      <c r="A1874" s="455" t="str">
        <f t="shared" si="58"/>
        <v>T</v>
      </c>
      <c r="B1874" s="455">
        <f>VLOOKUP(LEFT($C$3:$C$2600,3),Table!$D$2:$E$88,2,FALSE)</f>
        <v>0</v>
      </c>
      <c r="C1874" s="455" t="str">
        <f t="shared" si="59"/>
        <v>T</v>
      </c>
      <c r="D1874" s="455" t="e">
        <f>VLOOKUP(G1874,Table!$G$3:$H$21,2,FALSE)</f>
        <v>#N/A</v>
      </c>
      <c r="E1874" s="452"/>
      <c r="F1874" s="452"/>
      <c r="G1874" s="452" t="s">
        <v>844</v>
      </c>
      <c r="H1874" s="452"/>
      <c r="I1874" s="453" t="s">
        <v>844</v>
      </c>
      <c r="J1874" s="453"/>
      <c r="K1874" s="461"/>
      <c r="L1874" s="461"/>
      <c r="M1874" s="461"/>
      <c r="N1874" s="461"/>
      <c r="O1874" s="461"/>
      <c r="P1874" s="461"/>
      <c r="Q1874" s="461"/>
      <c r="R1874" s="461"/>
      <c r="S1874" s="461"/>
      <c r="T1874" s="461"/>
      <c r="U1874" s="461"/>
      <c r="V1874" s="461"/>
    </row>
    <row r="1875" spans="1:22" s="455" customFormat="1" hidden="1">
      <c r="A1875" s="455" t="str">
        <f t="shared" si="58"/>
        <v>T</v>
      </c>
      <c r="B1875" s="455">
        <f>VLOOKUP(LEFT($C$3:$C$2600,3),Table!$D$2:$E$88,2,FALSE)</f>
        <v>0</v>
      </c>
      <c r="C1875" s="455" t="str">
        <f t="shared" si="59"/>
        <v>T</v>
      </c>
      <c r="D1875" s="455" t="e">
        <f>VLOOKUP(G1875,Table!$G$3:$H$21,2,FALSE)</f>
        <v>#N/A</v>
      </c>
      <c r="E1875" s="452"/>
      <c r="F1875" s="452"/>
      <c r="G1875" s="452" t="s">
        <v>844</v>
      </c>
      <c r="H1875" s="452"/>
      <c r="I1875" s="453" t="s">
        <v>844</v>
      </c>
      <c r="J1875" s="453"/>
      <c r="K1875" s="461"/>
      <c r="L1875" s="461"/>
      <c r="M1875" s="461"/>
      <c r="N1875" s="461"/>
      <c r="O1875" s="461"/>
      <c r="P1875" s="461"/>
      <c r="Q1875" s="461"/>
      <c r="R1875" s="461"/>
      <c r="S1875" s="461"/>
      <c r="T1875" s="461"/>
      <c r="U1875" s="461"/>
      <c r="V1875" s="461"/>
    </row>
    <row r="1876" spans="1:22" s="455" customFormat="1" hidden="1">
      <c r="A1876" s="455" t="str">
        <f t="shared" si="58"/>
        <v>T</v>
      </c>
      <c r="B1876" s="455">
        <f>VLOOKUP(LEFT($C$3:$C$2600,3),Table!$D$2:$E$88,2,FALSE)</f>
        <v>0</v>
      </c>
      <c r="C1876" s="455" t="str">
        <f t="shared" si="59"/>
        <v>T</v>
      </c>
      <c r="D1876" s="455" t="e">
        <f>VLOOKUP(G1876,Table!$G$3:$H$21,2,FALSE)</f>
        <v>#N/A</v>
      </c>
      <c r="E1876" s="452"/>
      <c r="F1876" s="452"/>
      <c r="G1876" s="452" t="s">
        <v>844</v>
      </c>
      <c r="H1876" s="452"/>
      <c r="I1876" s="453" t="s">
        <v>844</v>
      </c>
      <c r="J1876" s="453"/>
      <c r="K1876" s="461"/>
      <c r="L1876" s="461"/>
      <c r="M1876" s="461"/>
      <c r="N1876" s="461"/>
      <c r="O1876" s="461"/>
      <c r="P1876" s="461"/>
      <c r="Q1876" s="461"/>
      <c r="R1876" s="461"/>
      <c r="S1876" s="461"/>
      <c r="T1876" s="461"/>
      <c r="U1876" s="461"/>
      <c r="V1876" s="461"/>
    </row>
    <row r="1877" spans="1:22" s="455" customFormat="1" hidden="1">
      <c r="A1877" s="455" t="str">
        <f t="shared" si="58"/>
        <v>T</v>
      </c>
      <c r="B1877" s="455">
        <f>VLOOKUP(LEFT($C$3:$C$2600,3),Table!$D$2:$E$88,2,FALSE)</f>
        <v>0</v>
      </c>
      <c r="C1877" s="455" t="str">
        <f t="shared" si="59"/>
        <v>T</v>
      </c>
      <c r="D1877" s="455" t="e">
        <f>VLOOKUP(G1877,Table!$G$3:$H$21,2,FALSE)</f>
        <v>#N/A</v>
      </c>
      <c r="E1877" s="452"/>
      <c r="F1877" s="452"/>
      <c r="G1877" s="452" t="s">
        <v>844</v>
      </c>
      <c r="H1877" s="452"/>
      <c r="I1877" s="453" t="s">
        <v>844</v>
      </c>
      <c r="J1877" s="453"/>
      <c r="K1877" s="461"/>
      <c r="L1877" s="461"/>
      <c r="M1877" s="461"/>
      <c r="N1877" s="461"/>
      <c r="O1877" s="461"/>
      <c r="P1877" s="461"/>
      <c r="Q1877" s="461"/>
      <c r="R1877" s="461"/>
      <c r="S1877" s="461"/>
      <c r="T1877" s="461"/>
      <c r="U1877" s="461"/>
      <c r="V1877" s="461"/>
    </row>
    <row r="1878" spans="1:22" s="455" customFormat="1" hidden="1">
      <c r="A1878" s="455" t="str">
        <f t="shared" si="58"/>
        <v>T</v>
      </c>
      <c r="B1878" s="455">
        <f>VLOOKUP(LEFT($C$3:$C$2600,3),Table!$D$2:$E$88,2,FALSE)</f>
        <v>0</v>
      </c>
      <c r="C1878" s="455" t="str">
        <f t="shared" si="59"/>
        <v>T</v>
      </c>
      <c r="D1878" s="455" t="e">
        <f>VLOOKUP(G1878,Table!$G$3:$H$21,2,FALSE)</f>
        <v>#N/A</v>
      </c>
      <c r="E1878" s="452"/>
      <c r="F1878" s="452"/>
      <c r="G1878" s="452" t="s">
        <v>844</v>
      </c>
      <c r="H1878" s="452"/>
      <c r="I1878" s="453" t="s">
        <v>844</v>
      </c>
      <c r="J1878" s="453"/>
      <c r="K1878" s="461"/>
      <c r="L1878" s="461"/>
      <c r="M1878" s="461"/>
      <c r="N1878" s="461"/>
      <c r="O1878" s="461"/>
      <c r="P1878" s="461"/>
      <c r="Q1878" s="461"/>
      <c r="R1878" s="461"/>
      <c r="S1878" s="461"/>
      <c r="T1878" s="461"/>
      <c r="U1878" s="461"/>
      <c r="V1878" s="461"/>
    </row>
    <row r="1879" spans="1:22" s="455" customFormat="1" hidden="1">
      <c r="A1879" s="455" t="str">
        <f t="shared" si="58"/>
        <v>T</v>
      </c>
      <c r="B1879" s="455">
        <f>VLOOKUP(LEFT($C$3:$C$2600,3),Table!$D$2:$E$88,2,FALSE)</f>
        <v>0</v>
      </c>
      <c r="C1879" s="455" t="str">
        <f t="shared" si="59"/>
        <v>T</v>
      </c>
      <c r="D1879" s="455" t="e">
        <f>VLOOKUP(G1879,Table!$G$3:$H$21,2,FALSE)</f>
        <v>#N/A</v>
      </c>
      <c r="E1879" s="452"/>
      <c r="F1879" s="452"/>
      <c r="G1879" s="452" t="s">
        <v>844</v>
      </c>
      <c r="H1879" s="452"/>
      <c r="I1879" s="453" t="s">
        <v>844</v>
      </c>
      <c r="J1879" s="453"/>
      <c r="K1879" s="461"/>
      <c r="L1879" s="461"/>
      <c r="M1879" s="461"/>
      <c r="N1879" s="461"/>
      <c r="O1879" s="461"/>
      <c r="P1879" s="461"/>
      <c r="Q1879" s="461"/>
      <c r="R1879" s="461"/>
      <c r="S1879" s="461"/>
      <c r="T1879" s="461"/>
      <c r="U1879" s="461"/>
      <c r="V1879" s="461"/>
    </row>
    <row r="1880" spans="1:22" s="455" customFormat="1" hidden="1">
      <c r="A1880" s="455" t="str">
        <f t="shared" si="58"/>
        <v>T</v>
      </c>
      <c r="B1880" s="455">
        <f>VLOOKUP(LEFT($C$3:$C$2600,3),Table!$D$2:$E$88,2,FALSE)</f>
        <v>0</v>
      </c>
      <c r="C1880" s="455" t="str">
        <f t="shared" si="59"/>
        <v>T</v>
      </c>
      <c r="D1880" s="455" t="e">
        <f>VLOOKUP(G1880,Table!$G$3:$H$21,2,FALSE)</f>
        <v>#N/A</v>
      </c>
      <c r="E1880" s="452"/>
      <c r="F1880" s="452"/>
      <c r="G1880" s="452" t="s">
        <v>844</v>
      </c>
      <c r="H1880" s="452"/>
      <c r="I1880" s="453" t="s">
        <v>844</v>
      </c>
      <c r="J1880" s="453"/>
      <c r="K1880" s="461"/>
      <c r="L1880" s="461"/>
      <c r="M1880" s="461"/>
      <c r="N1880" s="461"/>
      <c r="O1880" s="461"/>
      <c r="P1880" s="461"/>
      <c r="Q1880" s="461"/>
      <c r="R1880" s="461"/>
      <c r="S1880" s="461"/>
      <c r="T1880" s="461"/>
      <c r="U1880" s="461"/>
      <c r="V1880" s="461"/>
    </row>
    <row r="1881" spans="1:22" s="455" customFormat="1" hidden="1">
      <c r="A1881" s="455" t="str">
        <f t="shared" si="58"/>
        <v>T</v>
      </c>
      <c r="B1881" s="455">
        <f>VLOOKUP(LEFT($C$3:$C$2600,3),Table!$D$2:$E$88,2,FALSE)</f>
        <v>0</v>
      </c>
      <c r="C1881" s="455" t="str">
        <f t="shared" si="59"/>
        <v>T</v>
      </c>
      <c r="D1881" s="455" t="e">
        <f>VLOOKUP(G1881,Table!$G$3:$H$21,2,FALSE)</f>
        <v>#N/A</v>
      </c>
      <c r="E1881" s="452"/>
      <c r="F1881" s="452"/>
      <c r="G1881" s="452" t="s">
        <v>844</v>
      </c>
      <c r="H1881" s="452"/>
      <c r="I1881" s="453" t="s">
        <v>844</v>
      </c>
      <c r="J1881" s="453"/>
      <c r="K1881" s="461"/>
      <c r="L1881" s="461"/>
      <c r="M1881" s="461"/>
      <c r="N1881" s="461"/>
      <c r="O1881" s="461"/>
      <c r="P1881" s="461"/>
      <c r="Q1881" s="461"/>
      <c r="R1881" s="461"/>
      <c r="S1881" s="461"/>
      <c r="T1881" s="461"/>
      <c r="U1881" s="461"/>
      <c r="V1881" s="461"/>
    </row>
    <row r="1882" spans="1:22" s="455" customFormat="1" hidden="1">
      <c r="A1882" s="455" t="str">
        <f t="shared" si="58"/>
        <v>T</v>
      </c>
      <c r="B1882" s="455">
        <f>VLOOKUP(LEFT($C$3:$C$2600,3),Table!$D$2:$E$88,2,FALSE)</f>
        <v>0</v>
      </c>
      <c r="C1882" s="455" t="str">
        <f t="shared" si="59"/>
        <v>T</v>
      </c>
      <c r="D1882" s="455" t="e">
        <f>VLOOKUP(G1882,Table!$G$3:$H$21,2,FALSE)</f>
        <v>#N/A</v>
      </c>
      <c r="E1882" s="452"/>
      <c r="F1882" s="452"/>
      <c r="G1882" s="452" t="s">
        <v>844</v>
      </c>
      <c r="H1882" s="452"/>
      <c r="I1882" s="453" t="s">
        <v>844</v>
      </c>
      <c r="J1882" s="453"/>
      <c r="K1882" s="461"/>
      <c r="L1882" s="461"/>
      <c r="M1882" s="461"/>
      <c r="N1882" s="461"/>
      <c r="O1882" s="461"/>
      <c r="P1882" s="461"/>
      <c r="Q1882" s="461"/>
      <c r="R1882" s="461"/>
      <c r="S1882" s="461"/>
      <c r="T1882" s="461"/>
      <c r="U1882" s="461"/>
      <c r="V1882" s="461"/>
    </row>
    <row r="1883" spans="1:22" s="455" customFormat="1" hidden="1">
      <c r="A1883" s="455" t="str">
        <f t="shared" si="58"/>
        <v>T</v>
      </c>
      <c r="B1883" s="455">
        <f>VLOOKUP(LEFT($C$3:$C$2600,3),Table!$D$2:$E$88,2,FALSE)</f>
        <v>0</v>
      </c>
      <c r="C1883" s="455" t="str">
        <f t="shared" si="59"/>
        <v>T</v>
      </c>
      <c r="D1883" s="455" t="e">
        <f>VLOOKUP(G1883,Table!$G$3:$H$21,2,FALSE)</f>
        <v>#N/A</v>
      </c>
      <c r="E1883" s="452"/>
      <c r="F1883" s="452"/>
      <c r="G1883" s="452" t="s">
        <v>844</v>
      </c>
      <c r="H1883" s="452"/>
      <c r="I1883" s="453" t="s">
        <v>844</v>
      </c>
      <c r="J1883" s="453"/>
      <c r="K1883" s="461"/>
      <c r="L1883" s="461"/>
      <c r="M1883" s="461"/>
      <c r="N1883" s="461"/>
      <c r="O1883" s="461"/>
      <c r="P1883" s="461"/>
      <c r="Q1883" s="461"/>
      <c r="R1883" s="461"/>
      <c r="S1883" s="461"/>
      <c r="T1883" s="461"/>
      <c r="U1883" s="461"/>
      <c r="V1883" s="461"/>
    </row>
    <row r="1884" spans="1:22" s="455" customFormat="1" hidden="1">
      <c r="A1884" s="455" t="str">
        <f t="shared" si="58"/>
        <v>T</v>
      </c>
      <c r="B1884" s="455">
        <f>VLOOKUP(LEFT($C$3:$C$2600,3),Table!$D$2:$E$88,2,FALSE)</f>
        <v>0</v>
      </c>
      <c r="C1884" s="455" t="str">
        <f t="shared" si="59"/>
        <v>T</v>
      </c>
      <c r="D1884" s="455" t="e">
        <f>VLOOKUP(G1884,Table!$G$3:$H$21,2,FALSE)</f>
        <v>#N/A</v>
      </c>
      <c r="E1884" s="452"/>
      <c r="F1884" s="452"/>
      <c r="G1884" s="452" t="s">
        <v>844</v>
      </c>
      <c r="H1884" s="452"/>
      <c r="I1884" s="453" t="s">
        <v>844</v>
      </c>
      <c r="J1884" s="453"/>
      <c r="K1884" s="461"/>
      <c r="L1884" s="461"/>
      <c r="M1884" s="461"/>
      <c r="N1884" s="461"/>
      <c r="O1884" s="461"/>
      <c r="P1884" s="461"/>
      <c r="Q1884" s="461"/>
      <c r="R1884" s="461"/>
      <c r="S1884" s="461"/>
      <c r="T1884" s="461"/>
      <c r="U1884" s="461"/>
      <c r="V1884" s="461"/>
    </row>
    <row r="1885" spans="1:22" s="455" customFormat="1" hidden="1">
      <c r="A1885" s="455" t="str">
        <f t="shared" si="58"/>
        <v>T</v>
      </c>
      <c r="B1885" s="455">
        <f>VLOOKUP(LEFT($C$3:$C$2600,3),Table!$D$2:$E$88,2,FALSE)</f>
        <v>0</v>
      </c>
      <c r="C1885" s="455" t="str">
        <f t="shared" si="59"/>
        <v>T</v>
      </c>
      <c r="D1885" s="455" t="e">
        <f>VLOOKUP(G1885,Table!$G$3:$H$21,2,FALSE)</f>
        <v>#N/A</v>
      </c>
      <c r="E1885" s="452"/>
      <c r="F1885" s="452"/>
      <c r="G1885" s="452" t="s">
        <v>844</v>
      </c>
      <c r="H1885" s="452"/>
      <c r="I1885" s="453" t="s">
        <v>844</v>
      </c>
      <c r="J1885" s="453"/>
      <c r="K1885" s="461"/>
      <c r="L1885" s="461"/>
      <c r="M1885" s="461"/>
      <c r="N1885" s="461"/>
      <c r="O1885" s="461"/>
      <c r="P1885" s="461"/>
      <c r="Q1885" s="461"/>
      <c r="R1885" s="461"/>
      <c r="S1885" s="461"/>
      <c r="T1885" s="461"/>
      <c r="U1885" s="461"/>
      <c r="V1885" s="461"/>
    </row>
    <row r="1886" spans="1:22" s="455" customFormat="1" hidden="1">
      <c r="A1886" s="455" t="str">
        <f t="shared" si="58"/>
        <v>T</v>
      </c>
      <c r="B1886" s="455">
        <f>VLOOKUP(LEFT($C$3:$C$2600,3),Table!$D$2:$E$88,2,FALSE)</f>
        <v>0</v>
      </c>
      <c r="C1886" s="455" t="str">
        <f t="shared" si="59"/>
        <v>T</v>
      </c>
      <c r="D1886" s="455" t="e">
        <f>VLOOKUP(G1886,Table!$G$3:$H$21,2,FALSE)</f>
        <v>#N/A</v>
      </c>
      <c r="E1886" s="452"/>
      <c r="F1886" s="452"/>
      <c r="G1886" s="452" t="s">
        <v>844</v>
      </c>
      <c r="H1886" s="452"/>
      <c r="I1886" s="453" t="s">
        <v>844</v>
      </c>
      <c r="J1886" s="453"/>
      <c r="K1886" s="461"/>
      <c r="L1886" s="461"/>
      <c r="M1886" s="461"/>
      <c r="N1886" s="461"/>
      <c r="O1886" s="461"/>
      <c r="P1886" s="461"/>
      <c r="Q1886" s="461"/>
      <c r="R1886" s="461"/>
      <c r="S1886" s="461"/>
      <c r="T1886" s="461"/>
      <c r="U1886" s="461"/>
      <c r="V1886" s="461"/>
    </row>
    <row r="1887" spans="1:22" s="455" customFormat="1" hidden="1">
      <c r="A1887" s="455" t="str">
        <f t="shared" si="58"/>
        <v>T</v>
      </c>
      <c r="B1887" s="455">
        <f>VLOOKUP(LEFT($C$3:$C$2600,3),Table!$D$2:$E$88,2,FALSE)</f>
        <v>0</v>
      </c>
      <c r="C1887" s="455" t="str">
        <f t="shared" si="59"/>
        <v>T</v>
      </c>
      <c r="D1887" s="455" t="e">
        <f>VLOOKUP(G1887,Table!$G$3:$H$21,2,FALSE)</f>
        <v>#N/A</v>
      </c>
      <c r="E1887" s="452"/>
      <c r="F1887" s="452"/>
      <c r="G1887" s="452" t="s">
        <v>844</v>
      </c>
      <c r="H1887" s="452"/>
      <c r="I1887" s="453" t="s">
        <v>844</v>
      </c>
      <c r="J1887" s="453"/>
      <c r="K1887" s="461"/>
      <c r="L1887" s="461"/>
      <c r="M1887" s="461"/>
      <c r="N1887" s="461"/>
      <c r="O1887" s="461"/>
      <c r="P1887" s="461"/>
      <c r="Q1887" s="461"/>
      <c r="R1887" s="461"/>
      <c r="S1887" s="461"/>
      <c r="T1887" s="461"/>
      <c r="U1887" s="461"/>
      <c r="V1887" s="461"/>
    </row>
    <row r="1888" spans="1:22" s="455" customFormat="1" hidden="1">
      <c r="A1888" s="455" t="str">
        <f t="shared" si="58"/>
        <v>T</v>
      </c>
      <c r="B1888" s="455">
        <f>VLOOKUP(LEFT($C$3:$C$2600,3),Table!$D$2:$E$88,2,FALSE)</f>
        <v>0</v>
      </c>
      <c r="C1888" s="455" t="str">
        <f t="shared" si="59"/>
        <v>T</v>
      </c>
      <c r="D1888" s="455" t="e">
        <f>VLOOKUP(G1888,Table!$G$3:$H$21,2,FALSE)</f>
        <v>#N/A</v>
      </c>
      <c r="E1888" s="452"/>
      <c r="F1888" s="452"/>
      <c r="G1888" s="452" t="s">
        <v>844</v>
      </c>
      <c r="H1888" s="452"/>
      <c r="I1888" s="453" t="s">
        <v>844</v>
      </c>
      <c r="J1888" s="453"/>
      <c r="K1888" s="461"/>
      <c r="L1888" s="461"/>
      <c r="M1888" s="461"/>
      <c r="N1888" s="461"/>
      <c r="O1888" s="461"/>
      <c r="P1888" s="461"/>
      <c r="Q1888" s="461"/>
      <c r="R1888" s="461"/>
      <c r="S1888" s="461"/>
      <c r="T1888" s="461"/>
      <c r="U1888" s="461"/>
      <c r="V1888" s="461"/>
    </row>
    <row r="1889" spans="1:22" s="455" customFormat="1" hidden="1">
      <c r="A1889" s="455" t="str">
        <f t="shared" si="58"/>
        <v>T</v>
      </c>
      <c r="B1889" s="455">
        <f>VLOOKUP(LEFT($C$3:$C$2600,3),Table!$D$2:$E$88,2,FALSE)</f>
        <v>0</v>
      </c>
      <c r="C1889" s="455" t="str">
        <f t="shared" si="59"/>
        <v>T</v>
      </c>
      <c r="D1889" s="455" t="e">
        <f>VLOOKUP(G1889,Table!$G$3:$H$21,2,FALSE)</f>
        <v>#N/A</v>
      </c>
      <c r="E1889" s="452"/>
      <c r="F1889" s="452"/>
      <c r="G1889" s="452" t="s">
        <v>844</v>
      </c>
      <c r="H1889" s="452"/>
      <c r="I1889" s="453" t="s">
        <v>844</v>
      </c>
      <c r="J1889" s="453"/>
      <c r="K1889" s="461"/>
      <c r="L1889" s="461"/>
      <c r="M1889" s="461"/>
      <c r="N1889" s="461"/>
      <c r="O1889" s="461"/>
      <c r="P1889" s="461"/>
      <c r="Q1889" s="461"/>
      <c r="R1889" s="461"/>
      <c r="S1889" s="461"/>
      <c r="T1889" s="461"/>
      <c r="U1889" s="461"/>
      <c r="V1889" s="461"/>
    </row>
    <row r="1890" spans="1:22" s="455" customFormat="1" hidden="1">
      <c r="A1890" s="455" t="str">
        <f t="shared" si="58"/>
        <v>T</v>
      </c>
      <c r="B1890" s="455">
        <f>VLOOKUP(LEFT($C$3:$C$2600,3),Table!$D$2:$E$88,2,FALSE)</f>
        <v>0</v>
      </c>
      <c r="C1890" s="455" t="str">
        <f t="shared" si="59"/>
        <v>T</v>
      </c>
      <c r="D1890" s="455" t="e">
        <f>VLOOKUP(G1890,Table!$G$3:$H$21,2,FALSE)</f>
        <v>#N/A</v>
      </c>
      <c r="E1890" s="452"/>
      <c r="F1890" s="452"/>
      <c r="G1890" s="452" t="s">
        <v>844</v>
      </c>
      <c r="H1890" s="452"/>
      <c r="I1890" s="453" t="s">
        <v>844</v>
      </c>
      <c r="J1890" s="453"/>
      <c r="K1890" s="461"/>
      <c r="L1890" s="461"/>
      <c r="M1890" s="461"/>
      <c r="N1890" s="461"/>
      <c r="O1890" s="461"/>
      <c r="P1890" s="461"/>
      <c r="Q1890" s="461"/>
      <c r="R1890" s="461"/>
      <c r="S1890" s="461"/>
      <c r="T1890" s="461"/>
      <c r="U1890" s="461"/>
      <c r="V1890" s="461"/>
    </row>
    <row r="1891" spans="1:22" s="455" customFormat="1" hidden="1">
      <c r="A1891" s="455" t="str">
        <f t="shared" si="58"/>
        <v>T</v>
      </c>
      <c r="B1891" s="455">
        <f>VLOOKUP(LEFT($C$3:$C$2600,3),Table!$D$2:$E$88,2,FALSE)</f>
        <v>0</v>
      </c>
      <c r="C1891" s="455" t="str">
        <f t="shared" si="59"/>
        <v>T</v>
      </c>
      <c r="D1891" s="455" t="e">
        <f>VLOOKUP(G1891,Table!$G$3:$H$21,2,FALSE)</f>
        <v>#N/A</v>
      </c>
      <c r="E1891" s="452"/>
      <c r="F1891" s="452"/>
      <c r="G1891" s="452" t="s">
        <v>844</v>
      </c>
      <c r="H1891" s="452"/>
      <c r="I1891" s="453" t="s">
        <v>844</v>
      </c>
      <c r="J1891" s="453"/>
      <c r="K1891" s="461"/>
      <c r="L1891" s="461"/>
      <c r="M1891" s="461"/>
      <c r="N1891" s="461"/>
      <c r="O1891" s="461"/>
      <c r="P1891" s="461"/>
      <c r="Q1891" s="461"/>
      <c r="R1891" s="461"/>
      <c r="S1891" s="461"/>
      <c r="T1891" s="461"/>
      <c r="U1891" s="461"/>
      <c r="V1891" s="461"/>
    </row>
    <row r="1892" spans="1:22" s="455" customFormat="1" hidden="1">
      <c r="A1892" s="455" t="str">
        <f t="shared" si="58"/>
        <v>T</v>
      </c>
      <c r="B1892" s="455">
        <f>VLOOKUP(LEFT($C$3:$C$2600,3),Table!$D$2:$E$88,2,FALSE)</f>
        <v>0</v>
      </c>
      <c r="C1892" s="455" t="str">
        <f t="shared" si="59"/>
        <v>T</v>
      </c>
      <c r="D1892" s="455" t="e">
        <f>VLOOKUP(G1892,Table!$G$3:$H$21,2,FALSE)</f>
        <v>#N/A</v>
      </c>
      <c r="E1892" s="452"/>
      <c r="F1892" s="452"/>
      <c r="G1892" s="452" t="s">
        <v>844</v>
      </c>
      <c r="H1892" s="452"/>
      <c r="I1892" s="453" t="s">
        <v>844</v>
      </c>
      <c r="J1892" s="453"/>
      <c r="K1892" s="461"/>
      <c r="L1892" s="461"/>
      <c r="M1892" s="461"/>
      <c r="N1892" s="461"/>
      <c r="O1892" s="461"/>
      <c r="P1892" s="461"/>
      <c r="Q1892" s="461"/>
      <c r="R1892" s="461"/>
      <c r="S1892" s="461"/>
      <c r="T1892" s="461"/>
      <c r="U1892" s="461"/>
      <c r="V1892" s="461"/>
    </row>
    <row r="1893" spans="1:22" s="455" customFormat="1" hidden="1">
      <c r="A1893" s="455" t="str">
        <f t="shared" si="58"/>
        <v>T</v>
      </c>
      <c r="B1893" s="455">
        <f>VLOOKUP(LEFT($C$3:$C$2600,3),Table!$D$2:$E$88,2,FALSE)</f>
        <v>0</v>
      </c>
      <c r="C1893" s="455" t="str">
        <f t="shared" si="59"/>
        <v>T</v>
      </c>
      <c r="D1893" s="455" t="e">
        <f>VLOOKUP(G1893,Table!$G$3:$H$21,2,FALSE)</f>
        <v>#N/A</v>
      </c>
      <c r="E1893" s="452"/>
      <c r="F1893" s="452"/>
      <c r="G1893" s="452" t="s">
        <v>844</v>
      </c>
      <c r="H1893" s="452"/>
      <c r="I1893" s="453" t="s">
        <v>844</v>
      </c>
      <c r="J1893" s="453"/>
      <c r="K1893" s="461"/>
      <c r="L1893" s="461"/>
      <c r="M1893" s="461"/>
      <c r="N1893" s="461"/>
      <c r="O1893" s="461"/>
      <c r="P1893" s="461"/>
      <c r="Q1893" s="461"/>
      <c r="R1893" s="461"/>
      <c r="S1893" s="461"/>
      <c r="T1893" s="461"/>
      <c r="U1893" s="461"/>
      <c r="V1893" s="461"/>
    </row>
    <row r="1894" spans="1:22" s="455" customFormat="1" hidden="1">
      <c r="A1894" s="455" t="str">
        <f t="shared" si="58"/>
        <v>T</v>
      </c>
      <c r="B1894" s="455">
        <f>VLOOKUP(LEFT($C$3:$C$2600,3),Table!$D$2:$E$88,2,FALSE)</f>
        <v>0</v>
      </c>
      <c r="C1894" s="455" t="str">
        <f t="shared" si="59"/>
        <v>T</v>
      </c>
      <c r="D1894" s="455" t="e">
        <f>VLOOKUP(G1894,Table!$G$3:$H$21,2,FALSE)</f>
        <v>#N/A</v>
      </c>
      <c r="E1894" s="452"/>
      <c r="F1894" s="452"/>
      <c r="G1894" s="452" t="s">
        <v>844</v>
      </c>
      <c r="H1894" s="452"/>
      <c r="I1894" s="453" t="s">
        <v>844</v>
      </c>
      <c r="J1894" s="453"/>
      <c r="K1894" s="461"/>
      <c r="L1894" s="461"/>
      <c r="M1894" s="461"/>
      <c r="N1894" s="461"/>
      <c r="O1894" s="461"/>
      <c r="P1894" s="461"/>
      <c r="Q1894" s="461"/>
      <c r="R1894" s="461"/>
      <c r="S1894" s="461"/>
      <c r="T1894" s="461"/>
      <c r="U1894" s="461"/>
      <c r="V1894" s="461"/>
    </row>
    <row r="1895" spans="1:22" s="455" customFormat="1" hidden="1">
      <c r="A1895" s="455" t="str">
        <f t="shared" si="58"/>
        <v>T</v>
      </c>
      <c r="B1895" s="455">
        <f>VLOOKUP(LEFT($C$3:$C$2600,3),Table!$D$2:$E$88,2,FALSE)</f>
        <v>0</v>
      </c>
      <c r="C1895" s="455" t="str">
        <f t="shared" si="59"/>
        <v>T</v>
      </c>
      <c r="D1895" s="455" t="e">
        <f>VLOOKUP(G1895,Table!$G$3:$H$21,2,FALSE)</f>
        <v>#N/A</v>
      </c>
      <c r="E1895" s="452"/>
      <c r="F1895" s="452"/>
      <c r="G1895" s="452" t="s">
        <v>844</v>
      </c>
      <c r="H1895" s="452"/>
      <c r="I1895" s="453" t="s">
        <v>844</v>
      </c>
      <c r="J1895" s="453"/>
      <c r="K1895" s="461"/>
      <c r="L1895" s="461"/>
      <c r="M1895" s="461"/>
      <c r="N1895" s="461"/>
      <c r="O1895" s="461"/>
      <c r="P1895" s="461"/>
      <c r="Q1895" s="461"/>
      <c r="R1895" s="461"/>
      <c r="S1895" s="461"/>
      <c r="T1895" s="461"/>
      <c r="U1895" s="461"/>
      <c r="V1895" s="461"/>
    </row>
    <row r="1896" spans="1:22" s="455" customFormat="1" hidden="1">
      <c r="A1896" s="455" t="str">
        <f t="shared" si="58"/>
        <v>T</v>
      </c>
      <c r="B1896" s="455">
        <f>VLOOKUP(LEFT($C$3:$C$2600,3),Table!$D$2:$E$88,2,FALSE)</f>
        <v>0</v>
      </c>
      <c r="C1896" s="455" t="str">
        <f t="shared" si="59"/>
        <v>T</v>
      </c>
      <c r="D1896" s="455" t="e">
        <f>VLOOKUP(G1896,Table!$G$3:$H$21,2,FALSE)</f>
        <v>#N/A</v>
      </c>
      <c r="E1896" s="452"/>
      <c r="F1896" s="452"/>
      <c r="G1896" s="452" t="s">
        <v>844</v>
      </c>
      <c r="H1896" s="452"/>
      <c r="I1896" s="453" t="s">
        <v>844</v>
      </c>
      <c r="J1896" s="453"/>
      <c r="K1896" s="461"/>
      <c r="L1896" s="461"/>
      <c r="M1896" s="461"/>
      <c r="N1896" s="461"/>
      <c r="O1896" s="461"/>
      <c r="P1896" s="461"/>
      <c r="Q1896" s="461"/>
      <c r="R1896" s="461"/>
      <c r="S1896" s="461"/>
      <c r="T1896" s="461"/>
      <c r="U1896" s="461"/>
      <c r="V1896" s="461"/>
    </row>
    <row r="1897" spans="1:22" s="455" customFormat="1" hidden="1">
      <c r="A1897" s="455" t="str">
        <f t="shared" si="58"/>
        <v>T</v>
      </c>
      <c r="B1897" s="455">
        <f>VLOOKUP(LEFT($C$3:$C$2600,3),Table!$D$2:$E$88,2,FALSE)</f>
        <v>0</v>
      </c>
      <c r="C1897" s="455" t="str">
        <f t="shared" si="59"/>
        <v>T</v>
      </c>
      <c r="D1897" s="455" t="e">
        <f>VLOOKUP(G1897,Table!$G$3:$H$21,2,FALSE)</f>
        <v>#N/A</v>
      </c>
      <c r="E1897" s="452"/>
      <c r="F1897" s="452"/>
      <c r="G1897" s="452" t="s">
        <v>844</v>
      </c>
      <c r="H1897" s="452"/>
      <c r="I1897" s="453" t="s">
        <v>844</v>
      </c>
      <c r="J1897" s="453"/>
      <c r="K1897" s="461"/>
      <c r="L1897" s="461"/>
      <c r="M1897" s="461"/>
      <c r="N1897" s="461"/>
      <c r="O1897" s="461"/>
      <c r="P1897" s="461"/>
      <c r="Q1897" s="461"/>
      <c r="R1897" s="461"/>
      <c r="S1897" s="461"/>
      <c r="T1897" s="461"/>
      <c r="U1897" s="461"/>
      <c r="V1897" s="461"/>
    </row>
    <row r="1898" spans="1:22" s="455" customFormat="1" hidden="1">
      <c r="A1898" s="455" t="str">
        <f t="shared" si="58"/>
        <v>T</v>
      </c>
      <c r="B1898" s="455">
        <f>VLOOKUP(LEFT($C$3:$C$2600,3),Table!$D$2:$E$88,2,FALSE)</f>
        <v>0</v>
      </c>
      <c r="C1898" s="455" t="str">
        <f t="shared" si="59"/>
        <v>T</v>
      </c>
      <c r="D1898" s="455" t="e">
        <f>VLOOKUP(G1898,Table!$G$3:$H$21,2,FALSE)</f>
        <v>#N/A</v>
      </c>
      <c r="E1898" s="452"/>
      <c r="F1898" s="452"/>
      <c r="G1898" s="452" t="s">
        <v>844</v>
      </c>
      <c r="H1898" s="452"/>
      <c r="I1898" s="453" t="s">
        <v>844</v>
      </c>
      <c r="J1898" s="453"/>
      <c r="K1898" s="461"/>
      <c r="L1898" s="461"/>
      <c r="M1898" s="461"/>
      <c r="N1898" s="461"/>
      <c r="O1898" s="461"/>
      <c r="P1898" s="461"/>
      <c r="Q1898" s="461"/>
      <c r="R1898" s="461"/>
      <c r="S1898" s="461"/>
      <c r="T1898" s="461"/>
      <c r="U1898" s="461"/>
      <c r="V1898" s="461"/>
    </row>
    <row r="1899" spans="1:22" s="455" customFormat="1" hidden="1">
      <c r="A1899" s="455" t="str">
        <f t="shared" si="58"/>
        <v>T</v>
      </c>
      <c r="B1899" s="455">
        <f>VLOOKUP(LEFT($C$3:$C$2600,3),Table!$D$2:$E$88,2,FALSE)</f>
        <v>0</v>
      </c>
      <c r="C1899" s="455" t="str">
        <f t="shared" si="59"/>
        <v>T</v>
      </c>
      <c r="D1899" s="455" t="e">
        <f>VLOOKUP(G1899,Table!$G$3:$H$21,2,FALSE)</f>
        <v>#N/A</v>
      </c>
      <c r="E1899" s="452"/>
      <c r="F1899" s="452"/>
      <c r="G1899" s="452" t="s">
        <v>844</v>
      </c>
      <c r="H1899" s="452"/>
      <c r="I1899" s="453" t="s">
        <v>844</v>
      </c>
      <c r="J1899" s="453"/>
      <c r="K1899" s="461"/>
      <c r="L1899" s="461"/>
      <c r="M1899" s="461"/>
      <c r="N1899" s="461"/>
      <c r="O1899" s="461"/>
      <c r="P1899" s="461"/>
      <c r="Q1899" s="461"/>
      <c r="R1899" s="461"/>
      <c r="S1899" s="461"/>
      <c r="T1899" s="461"/>
      <c r="U1899" s="461"/>
      <c r="V1899" s="461"/>
    </row>
    <row r="1900" spans="1:22" s="455" customFormat="1" hidden="1">
      <c r="A1900" s="455" t="str">
        <f t="shared" si="58"/>
        <v>T</v>
      </c>
      <c r="B1900" s="455">
        <f>VLOOKUP(LEFT($C$3:$C$2600,3),Table!$D$2:$E$88,2,FALSE)</f>
        <v>0</v>
      </c>
      <c r="C1900" s="455" t="str">
        <f t="shared" si="59"/>
        <v>T</v>
      </c>
      <c r="D1900" s="455" t="e">
        <f>VLOOKUP(G1900,Table!$G$3:$H$21,2,FALSE)</f>
        <v>#N/A</v>
      </c>
      <c r="E1900" s="452"/>
      <c r="F1900" s="452"/>
      <c r="G1900" s="452" t="s">
        <v>844</v>
      </c>
      <c r="H1900" s="452"/>
      <c r="I1900" s="453" t="s">
        <v>844</v>
      </c>
      <c r="J1900" s="453"/>
      <c r="K1900" s="461"/>
      <c r="L1900" s="461"/>
      <c r="M1900" s="461"/>
      <c r="N1900" s="461"/>
      <c r="O1900" s="461"/>
      <c r="P1900" s="461"/>
      <c r="Q1900" s="461"/>
      <c r="R1900" s="461"/>
      <c r="S1900" s="461"/>
      <c r="T1900" s="461"/>
      <c r="U1900" s="461"/>
      <c r="V1900" s="461"/>
    </row>
    <row r="1901" spans="1:22" s="455" customFormat="1" hidden="1">
      <c r="A1901" s="455" t="str">
        <f t="shared" si="58"/>
        <v>T</v>
      </c>
      <c r="B1901" s="455">
        <f>VLOOKUP(LEFT($C$3:$C$2600,3),Table!$D$2:$E$88,2,FALSE)</f>
        <v>0</v>
      </c>
      <c r="C1901" s="455" t="str">
        <f t="shared" si="59"/>
        <v>T</v>
      </c>
      <c r="D1901" s="455" t="e">
        <f>VLOOKUP(G1901,Table!$G$3:$H$21,2,FALSE)</f>
        <v>#N/A</v>
      </c>
      <c r="E1901" s="452"/>
      <c r="F1901" s="452"/>
      <c r="G1901" s="452" t="s">
        <v>844</v>
      </c>
      <c r="H1901" s="452"/>
      <c r="I1901" s="453" t="s">
        <v>844</v>
      </c>
      <c r="J1901" s="453"/>
      <c r="K1901" s="461"/>
      <c r="L1901" s="461"/>
      <c r="M1901" s="461"/>
      <c r="N1901" s="461"/>
      <c r="O1901" s="461"/>
      <c r="P1901" s="461"/>
      <c r="Q1901" s="461"/>
      <c r="R1901" s="461"/>
      <c r="S1901" s="461"/>
      <c r="T1901" s="461"/>
      <c r="U1901" s="461"/>
      <c r="V1901" s="461"/>
    </row>
    <row r="1902" spans="1:22" s="455" customFormat="1" hidden="1">
      <c r="A1902" s="455" t="str">
        <f t="shared" si="58"/>
        <v>T</v>
      </c>
      <c r="B1902" s="455">
        <f>VLOOKUP(LEFT($C$3:$C$2600,3),Table!$D$2:$E$88,2,FALSE)</f>
        <v>0</v>
      </c>
      <c r="C1902" s="455" t="str">
        <f t="shared" si="59"/>
        <v>T</v>
      </c>
      <c r="D1902" s="455" t="e">
        <f>VLOOKUP(G1902,Table!$G$3:$H$21,2,FALSE)</f>
        <v>#N/A</v>
      </c>
      <c r="E1902" s="452"/>
      <c r="F1902" s="452"/>
      <c r="G1902" s="452" t="s">
        <v>844</v>
      </c>
      <c r="H1902" s="452"/>
      <c r="I1902" s="453" t="s">
        <v>844</v>
      </c>
      <c r="J1902" s="453"/>
      <c r="K1902" s="461"/>
      <c r="L1902" s="461"/>
      <c r="M1902" s="461"/>
      <c r="N1902" s="461"/>
      <c r="O1902" s="461"/>
      <c r="P1902" s="461"/>
      <c r="Q1902" s="461"/>
      <c r="R1902" s="461"/>
      <c r="S1902" s="461"/>
      <c r="T1902" s="461"/>
      <c r="U1902" s="461"/>
      <c r="V1902" s="461"/>
    </row>
    <row r="1903" spans="1:22" s="455" customFormat="1" hidden="1">
      <c r="A1903" s="455" t="str">
        <f t="shared" si="58"/>
        <v>T</v>
      </c>
      <c r="B1903" s="455">
        <f>VLOOKUP(LEFT($C$3:$C$2600,3),Table!$D$2:$E$88,2,FALSE)</f>
        <v>0</v>
      </c>
      <c r="C1903" s="455" t="str">
        <f t="shared" si="59"/>
        <v>T</v>
      </c>
      <c r="D1903" s="455" t="e">
        <f>VLOOKUP(G1903,Table!$G$3:$H$21,2,FALSE)</f>
        <v>#N/A</v>
      </c>
      <c r="E1903" s="452"/>
      <c r="F1903" s="452"/>
      <c r="G1903" s="452" t="s">
        <v>844</v>
      </c>
      <c r="H1903" s="452"/>
      <c r="I1903" s="453" t="s">
        <v>844</v>
      </c>
      <c r="J1903" s="453"/>
      <c r="K1903" s="461"/>
      <c r="L1903" s="461"/>
      <c r="M1903" s="461"/>
      <c r="N1903" s="461"/>
      <c r="O1903" s="461"/>
      <c r="P1903" s="461"/>
      <c r="Q1903" s="461"/>
      <c r="R1903" s="461"/>
      <c r="S1903" s="461"/>
      <c r="T1903" s="461"/>
      <c r="U1903" s="461"/>
      <c r="V1903" s="461"/>
    </row>
    <row r="1904" spans="1:22" s="455" customFormat="1" hidden="1">
      <c r="A1904" s="455" t="str">
        <f t="shared" si="58"/>
        <v>T</v>
      </c>
      <c r="B1904" s="455">
        <f>VLOOKUP(LEFT($C$3:$C$2600,3),Table!$D$2:$E$88,2,FALSE)</f>
        <v>0</v>
      </c>
      <c r="C1904" s="455" t="str">
        <f t="shared" si="59"/>
        <v>T</v>
      </c>
      <c r="D1904" s="455" t="e">
        <f>VLOOKUP(G1904,Table!$G$3:$H$21,2,FALSE)</f>
        <v>#N/A</v>
      </c>
      <c r="E1904" s="452"/>
      <c r="F1904" s="452"/>
      <c r="G1904" s="452" t="s">
        <v>844</v>
      </c>
      <c r="H1904" s="452"/>
      <c r="I1904" s="453" t="s">
        <v>844</v>
      </c>
      <c r="J1904" s="453"/>
      <c r="K1904" s="461"/>
      <c r="L1904" s="461"/>
      <c r="M1904" s="461"/>
      <c r="N1904" s="461"/>
      <c r="O1904" s="461"/>
      <c r="P1904" s="461"/>
      <c r="Q1904" s="461"/>
      <c r="R1904" s="461"/>
      <c r="S1904" s="461"/>
      <c r="T1904" s="461"/>
      <c r="U1904" s="461"/>
      <c r="V1904" s="461"/>
    </row>
    <row r="1905" spans="1:22" s="455" customFormat="1" hidden="1">
      <c r="A1905" s="455" t="str">
        <f t="shared" si="58"/>
        <v>T</v>
      </c>
      <c r="B1905" s="455">
        <f>VLOOKUP(LEFT($C$3:$C$2600,3),Table!$D$2:$E$88,2,FALSE)</f>
        <v>0</v>
      </c>
      <c r="C1905" s="455" t="str">
        <f t="shared" si="59"/>
        <v>T</v>
      </c>
      <c r="D1905" s="455" t="e">
        <f>VLOOKUP(G1905,Table!$G$3:$H$21,2,FALSE)</f>
        <v>#N/A</v>
      </c>
      <c r="E1905" s="452"/>
      <c r="F1905" s="452"/>
      <c r="G1905" s="452" t="s">
        <v>844</v>
      </c>
      <c r="H1905" s="452"/>
      <c r="I1905" s="453" t="s">
        <v>844</v>
      </c>
      <c r="J1905" s="453"/>
      <c r="K1905" s="461"/>
      <c r="L1905" s="461"/>
      <c r="M1905" s="461"/>
      <c r="N1905" s="461"/>
      <c r="O1905" s="461"/>
      <c r="P1905" s="461"/>
      <c r="Q1905" s="461"/>
      <c r="R1905" s="461"/>
      <c r="S1905" s="461"/>
      <c r="T1905" s="461"/>
      <c r="U1905" s="461"/>
      <c r="V1905" s="461"/>
    </row>
    <row r="1906" spans="1:22" s="455" customFormat="1" hidden="1">
      <c r="A1906" s="455" t="str">
        <f t="shared" si="58"/>
        <v>T</v>
      </c>
      <c r="B1906" s="455">
        <f>VLOOKUP(LEFT($C$3:$C$2600,3),Table!$D$2:$E$88,2,FALSE)</f>
        <v>0</v>
      </c>
      <c r="C1906" s="455" t="str">
        <f t="shared" si="59"/>
        <v>T</v>
      </c>
      <c r="D1906" s="455" t="e">
        <f>VLOOKUP(G1906,Table!$G$3:$H$21,2,FALSE)</f>
        <v>#N/A</v>
      </c>
      <c r="E1906" s="452"/>
      <c r="F1906" s="452"/>
      <c r="G1906" s="452" t="s">
        <v>844</v>
      </c>
      <c r="H1906" s="452"/>
      <c r="I1906" s="453" t="s">
        <v>844</v>
      </c>
      <c r="J1906" s="453"/>
      <c r="K1906" s="461"/>
      <c r="L1906" s="461"/>
      <c r="M1906" s="461"/>
      <c r="N1906" s="461"/>
      <c r="O1906" s="461"/>
      <c r="P1906" s="461"/>
      <c r="Q1906" s="461"/>
      <c r="R1906" s="461"/>
      <c r="S1906" s="461"/>
      <c r="T1906" s="461"/>
      <c r="U1906" s="461"/>
      <c r="V1906" s="461"/>
    </row>
    <row r="1907" spans="1:22" s="455" customFormat="1" hidden="1">
      <c r="A1907" s="455" t="str">
        <f t="shared" si="58"/>
        <v>T</v>
      </c>
      <c r="B1907" s="455">
        <f>VLOOKUP(LEFT($C$3:$C$2600,3),Table!$D$2:$E$88,2,FALSE)</f>
        <v>0</v>
      </c>
      <c r="C1907" s="455" t="str">
        <f t="shared" si="59"/>
        <v>T</v>
      </c>
      <c r="D1907" s="455" t="e">
        <f>VLOOKUP(G1907,Table!$G$3:$H$21,2,FALSE)</f>
        <v>#N/A</v>
      </c>
      <c r="E1907" s="452"/>
      <c r="F1907" s="452"/>
      <c r="G1907" s="452" t="s">
        <v>844</v>
      </c>
      <c r="H1907" s="452"/>
      <c r="I1907" s="453" t="s">
        <v>844</v>
      </c>
      <c r="J1907" s="453"/>
      <c r="K1907" s="461"/>
      <c r="L1907" s="461"/>
      <c r="M1907" s="461"/>
      <c r="N1907" s="461"/>
      <c r="O1907" s="461"/>
      <c r="P1907" s="461"/>
      <c r="Q1907" s="461"/>
      <c r="R1907" s="461"/>
      <c r="S1907" s="461"/>
      <c r="T1907" s="461"/>
      <c r="U1907" s="461"/>
      <c r="V1907" s="461"/>
    </row>
    <row r="1908" spans="1:22" s="455" customFormat="1" hidden="1">
      <c r="A1908" s="455" t="str">
        <f t="shared" si="58"/>
        <v>T</v>
      </c>
      <c r="B1908" s="455">
        <f>VLOOKUP(LEFT($C$3:$C$2600,3),Table!$D$2:$E$88,2,FALSE)</f>
        <v>0</v>
      </c>
      <c r="C1908" s="455" t="str">
        <f t="shared" si="59"/>
        <v>T</v>
      </c>
      <c r="D1908" s="455" t="e">
        <f>VLOOKUP(G1908,Table!$G$3:$H$21,2,FALSE)</f>
        <v>#N/A</v>
      </c>
      <c r="E1908" s="452"/>
      <c r="F1908" s="452"/>
      <c r="G1908" s="452" t="s">
        <v>844</v>
      </c>
      <c r="H1908" s="452"/>
      <c r="I1908" s="453" t="s">
        <v>844</v>
      </c>
      <c r="J1908" s="453"/>
      <c r="K1908" s="461"/>
      <c r="L1908" s="461"/>
      <c r="M1908" s="461"/>
      <c r="N1908" s="461"/>
      <c r="O1908" s="461"/>
      <c r="P1908" s="461"/>
      <c r="Q1908" s="461"/>
      <c r="R1908" s="461"/>
      <c r="S1908" s="461"/>
      <c r="T1908" s="461"/>
      <c r="U1908" s="461"/>
      <c r="V1908" s="461"/>
    </row>
    <row r="1909" spans="1:22" s="455" customFormat="1" hidden="1">
      <c r="A1909" s="455" t="str">
        <f t="shared" si="58"/>
        <v>T</v>
      </c>
      <c r="B1909" s="455">
        <f>VLOOKUP(LEFT($C$3:$C$2600,3),Table!$D$2:$E$88,2,FALSE)</f>
        <v>0</v>
      </c>
      <c r="C1909" s="455" t="str">
        <f t="shared" si="59"/>
        <v>T</v>
      </c>
      <c r="D1909" s="455" t="e">
        <f>VLOOKUP(G1909,Table!$G$3:$H$21,2,FALSE)</f>
        <v>#N/A</v>
      </c>
      <c r="E1909" s="452"/>
      <c r="F1909" s="452"/>
      <c r="G1909" s="452" t="s">
        <v>844</v>
      </c>
      <c r="H1909" s="452"/>
      <c r="I1909" s="453" t="s">
        <v>844</v>
      </c>
      <c r="J1909" s="453"/>
      <c r="K1909" s="461"/>
      <c r="L1909" s="461"/>
      <c r="M1909" s="461"/>
      <c r="N1909" s="461"/>
      <c r="O1909" s="461"/>
      <c r="P1909" s="461"/>
      <c r="Q1909" s="461"/>
      <c r="R1909" s="461"/>
      <c r="S1909" s="461"/>
      <c r="T1909" s="461"/>
      <c r="U1909" s="461"/>
      <c r="V1909" s="461"/>
    </row>
    <row r="1910" spans="1:22" s="455" customFormat="1" hidden="1">
      <c r="A1910" s="455" t="str">
        <f t="shared" si="58"/>
        <v>T</v>
      </c>
      <c r="B1910" s="455">
        <f>VLOOKUP(LEFT($C$3:$C$2600,3),Table!$D$2:$E$88,2,FALSE)</f>
        <v>0</v>
      </c>
      <c r="C1910" s="455" t="str">
        <f t="shared" si="59"/>
        <v>T</v>
      </c>
      <c r="D1910" s="455" t="e">
        <f>VLOOKUP(G1910,Table!$G$3:$H$21,2,FALSE)</f>
        <v>#N/A</v>
      </c>
      <c r="E1910" s="452"/>
      <c r="F1910" s="452"/>
      <c r="G1910" s="452" t="s">
        <v>844</v>
      </c>
      <c r="H1910" s="452"/>
      <c r="I1910" s="453" t="s">
        <v>844</v>
      </c>
      <c r="J1910" s="453"/>
      <c r="K1910" s="461"/>
      <c r="L1910" s="461"/>
      <c r="M1910" s="461"/>
      <c r="N1910" s="461"/>
      <c r="O1910" s="461"/>
      <c r="P1910" s="461"/>
      <c r="Q1910" s="461"/>
      <c r="R1910" s="461"/>
      <c r="S1910" s="461"/>
      <c r="T1910" s="461"/>
      <c r="U1910" s="461"/>
      <c r="V1910" s="461"/>
    </row>
    <row r="1911" spans="1:22" s="455" customFormat="1" hidden="1">
      <c r="A1911" s="455" t="str">
        <f t="shared" si="58"/>
        <v>T</v>
      </c>
      <c r="B1911" s="455">
        <f>VLOOKUP(LEFT($C$3:$C$2600,3),Table!$D$2:$E$88,2,FALSE)</f>
        <v>0</v>
      </c>
      <c r="C1911" s="455" t="str">
        <f t="shared" si="59"/>
        <v>T</v>
      </c>
      <c r="D1911" s="455" t="e">
        <f>VLOOKUP(G1911,Table!$G$3:$H$21,2,FALSE)</f>
        <v>#N/A</v>
      </c>
      <c r="E1911" s="452"/>
      <c r="F1911" s="452"/>
      <c r="G1911" s="452" t="s">
        <v>844</v>
      </c>
      <c r="H1911" s="452"/>
      <c r="I1911" s="453" t="s">
        <v>844</v>
      </c>
      <c r="J1911" s="453"/>
      <c r="K1911" s="461"/>
      <c r="L1911" s="461"/>
      <c r="M1911" s="461"/>
      <c r="N1911" s="461"/>
      <c r="O1911" s="461"/>
      <c r="P1911" s="461"/>
      <c r="Q1911" s="461"/>
      <c r="R1911" s="461"/>
      <c r="S1911" s="461"/>
      <c r="T1911" s="461"/>
      <c r="U1911" s="461"/>
      <c r="V1911" s="461"/>
    </row>
    <row r="1912" spans="1:22" s="455" customFormat="1" hidden="1">
      <c r="A1912" s="455" t="str">
        <f t="shared" si="58"/>
        <v>T</v>
      </c>
      <c r="B1912" s="455">
        <f>VLOOKUP(LEFT($C$3:$C$2600,3),Table!$D$2:$E$88,2,FALSE)</f>
        <v>0</v>
      </c>
      <c r="C1912" s="455" t="str">
        <f t="shared" si="59"/>
        <v>T</v>
      </c>
      <c r="D1912" s="455" t="e">
        <f>VLOOKUP(G1912,Table!$G$3:$H$21,2,FALSE)</f>
        <v>#N/A</v>
      </c>
      <c r="E1912" s="452"/>
      <c r="F1912" s="452"/>
      <c r="G1912" s="452" t="s">
        <v>844</v>
      </c>
      <c r="H1912" s="452"/>
      <c r="I1912" s="453" t="s">
        <v>844</v>
      </c>
      <c r="J1912" s="453"/>
      <c r="K1912" s="461"/>
      <c r="L1912" s="461"/>
      <c r="M1912" s="461"/>
      <c r="N1912" s="461"/>
      <c r="O1912" s="461"/>
      <c r="P1912" s="461"/>
      <c r="Q1912" s="461"/>
      <c r="R1912" s="461"/>
      <c r="S1912" s="461"/>
      <c r="T1912" s="461"/>
      <c r="U1912" s="461"/>
      <c r="V1912" s="461"/>
    </row>
    <row r="1913" spans="1:22" s="455" customFormat="1" hidden="1">
      <c r="A1913" s="455" t="str">
        <f t="shared" si="58"/>
        <v>T</v>
      </c>
      <c r="B1913" s="455">
        <f>VLOOKUP(LEFT($C$3:$C$2600,3),Table!$D$2:$E$88,2,FALSE)</f>
        <v>0</v>
      </c>
      <c r="C1913" s="455" t="str">
        <f t="shared" si="59"/>
        <v>T</v>
      </c>
      <c r="D1913" s="455" t="e">
        <f>VLOOKUP(G1913,Table!$G$3:$H$21,2,FALSE)</f>
        <v>#N/A</v>
      </c>
      <c r="E1913" s="452"/>
      <c r="F1913" s="452"/>
      <c r="G1913" s="452" t="s">
        <v>844</v>
      </c>
      <c r="H1913" s="452"/>
      <c r="I1913" s="453" t="s">
        <v>844</v>
      </c>
      <c r="J1913" s="453"/>
      <c r="K1913" s="461"/>
      <c r="L1913" s="461"/>
      <c r="M1913" s="461"/>
      <c r="N1913" s="461"/>
      <c r="O1913" s="461"/>
      <c r="P1913" s="461"/>
      <c r="Q1913" s="461"/>
      <c r="R1913" s="461"/>
      <c r="S1913" s="461"/>
      <c r="T1913" s="461"/>
      <c r="U1913" s="461"/>
      <c r="V1913" s="461"/>
    </row>
    <row r="1914" spans="1:22" s="455" customFormat="1" hidden="1">
      <c r="A1914" s="455" t="str">
        <f t="shared" si="58"/>
        <v>T</v>
      </c>
      <c r="B1914" s="455">
        <f>VLOOKUP(LEFT($C$3:$C$2600,3),Table!$D$2:$E$88,2,FALSE)</f>
        <v>0</v>
      </c>
      <c r="C1914" s="455" t="str">
        <f t="shared" si="59"/>
        <v>T</v>
      </c>
      <c r="D1914" s="455" t="e">
        <f>VLOOKUP(G1914,Table!$G$3:$H$21,2,FALSE)</f>
        <v>#N/A</v>
      </c>
      <c r="E1914" s="452"/>
      <c r="F1914" s="452"/>
      <c r="G1914" s="452" t="s">
        <v>844</v>
      </c>
      <c r="H1914" s="452"/>
      <c r="I1914" s="453" t="s">
        <v>844</v>
      </c>
      <c r="J1914" s="453"/>
      <c r="K1914" s="461"/>
      <c r="L1914" s="461"/>
      <c r="M1914" s="461"/>
      <c r="N1914" s="461"/>
      <c r="O1914" s="461"/>
      <c r="P1914" s="461"/>
      <c r="Q1914" s="461"/>
      <c r="R1914" s="461"/>
      <c r="S1914" s="461"/>
      <c r="T1914" s="461"/>
      <c r="U1914" s="461"/>
      <c r="V1914" s="461"/>
    </row>
    <row r="1915" spans="1:22" s="455" customFormat="1" hidden="1">
      <c r="A1915" s="455" t="str">
        <f t="shared" si="58"/>
        <v>T</v>
      </c>
      <c r="B1915" s="455">
        <f>VLOOKUP(LEFT($C$3:$C$2600,3),Table!$D$2:$E$88,2,FALSE)</f>
        <v>0</v>
      </c>
      <c r="C1915" s="455" t="str">
        <f t="shared" si="59"/>
        <v>T</v>
      </c>
      <c r="D1915" s="455" t="e">
        <f>VLOOKUP(G1915,Table!$G$3:$H$21,2,FALSE)</f>
        <v>#N/A</v>
      </c>
      <c r="E1915" s="452"/>
      <c r="F1915" s="452"/>
      <c r="G1915" s="452" t="s">
        <v>844</v>
      </c>
      <c r="H1915" s="452"/>
      <c r="I1915" s="453" t="s">
        <v>844</v>
      </c>
      <c r="J1915" s="453"/>
      <c r="K1915" s="461"/>
      <c r="L1915" s="461"/>
      <c r="M1915" s="461"/>
      <c r="N1915" s="461"/>
      <c r="O1915" s="461"/>
      <c r="P1915" s="461"/>
      <c r="Q1915" s="461"/>
      <c r="R1915" s="461"/>
      <c r="S1915" s="461"/>
      <c r="T1915" s="461"/>
      <c r="U1915" s="461"/>
      <c r="V1915" s="461"/>
    </row>
    <row r="1916" spans="1:22" s="455" customFormat="1" hidden="1">
      <c r="A1916" s="455" t="str">
        <f t="shared" si="58"/>
        <v>T</v>
      </c>
      <c r="B1916" s="455">
        <f>VLOOKUP(LEFT($C$3:$C$2600,3),Table!$D$2:$E$88,2,FALSE)</f>
        <v>0</v>
      </c>
      <c r="C1916" s="455" t="str">
        <f t="shared" si="59"/>
        <v>T</v>
      </c>
      <c r="D1916" s="455" t="e">
        <f>VLOOKUP(G1916,Table!$G$3:$H$21,2,FALSE)</f>
        <v>#N/A</v>
      </c>
      <c r="E1916" s="452"/>
      <c r="F1916" s="452"/>
      <c r="G1916" s="452" t="s">
        <v>844</v>
      </c>
      <c r="H1916" s="452"/>
      <c r="I1916" s="453" t="s">
        <v>844</v>
      </c>
      <c r="J1916" s="453"/>
      <c r="K1916" s="461"/>
      <c r="L1916" s="461"/>
      <c r="M1916" s="461"/>
      <c r="N1916" s="461"/>
      <c r="O1916" s="461"/>
      <c r="P1916" s="461"/>
      <c r="Q1916" s="461"/>
      <c r="R1916" s="461"/>
      <c r="S1916" s="461"/>
      <c r="T1916" s="461"/>
      <c r="U1916" s="461"/>
      <c r="V1916" s="461"/>
    </row>
    <row r="1917" spans="1:22" s="455" customFormat="1" hidden="1">
      <c r="A1917" s="455" t="str">
        <f t="shared" si="58"/>
        <v>T</v>
      </c>
      <c r="B1917" s="455">
        <f>VLOOKUP(LEFT($C$3:$C$2600,3),Table!$D$2:$E$88,2,FALSE)</f>
        <v>0</v>
      </c>
      <c r="C1917" s="455" t="str">
        <f t="shared" si="59"/>
        <v>T</v>
      </c>
      <c r="D1917" s="455" t="e">
        <f>VLOOKUP(G1917,Table!$G$3:$H$21,2,FALSE)</f>
        <v>#N/A</v>
      </c>
      <c r="E1917" s="452"/>
      <c r="F1917" s="452"/>
      <c r="G1917" s="452" t="s">
        <v>844</v>
      </c>
      <c r="H1917" s="452"/>
      <c r="I1917" s="453" t="s">
        <v>844</v>
      </c>
      <c r="J1917" s="453"/>
      <c r="K1917" s="461"/>
      <c r="L1917" s="461"/>
      <c r="M1917" s="461"/>
      <c r="N1917" s="461"/>
      <c r="O1917" s="461"/>
      <c r="P1917" s="461"/>
      <c r="Q1917" s="461"/>
      <c r="R1917" s="461"/>
      <c r="S1917" s="461"/>
      <c r="T1917" s="461"/>
      <c r="U1917" s="461"/>
      <c r="V1917" s="461"/>
    </row>
    <row r="1918" spans="1:22" s="455" customFormat="1" hidden="1">
      <c r="A1918" s="455" t="str">
        <f t="shared" si="58"/>
        <v>T</v>
      </c>
      <c r="B1918" s="455">
        <f>VLOOKUP(LEFT($C$3:$C$2600,3),Table!$D$2:$E$88,2,FALSE)</f>
        <v>0</v>
      </c>
      <c r="C1918" s="455" t="str">
        <f t="shared" si="59"/>
        <v>T</v>
      </c>
      <c r="D1918" s="455" t="e">
        <f>VLOOKUP(G1918,Table!$G$3:$H$21,2,FALSE)</f>
        <v>#N/A</v>
      </c>
      <c r="E1918" s="452"/>
      <c r="F1918" s="452"/>
      <c r="G1918" s="452" t="s">
        <v>844</v>
      </c>
      <c r="H1918" s="452"/>
      <c r="I1918" s="453" t="s">
        <v>844</v>
      </c>
      <c r="J1918" s="453"/>
      <c r="K1918" s="461"/>
      <c r="L1918" s="461"/>
      <c r="M1918" s="461"/>
      <c r="N1918" s="461"/>
      <c r="O1918" s="461"/>
      <c r="P1918" s="461"/>
      <c r="Q1918" s="461"/>
      <c r="R1918" s="461"/>
      <c r="S1918" s="461"/>
      <c r="T1918" s="461"/>
      <c r="U1918" s="461"/>
      <c r="V1918" s="461"/>
    </row>
    <row r="1919" spans="1:22" s="455" customFormat="1" hidden="1">
      <c r="A1919" s="455" t="str">
        <f t="shared" si="58"/>
        <v>T</v>
      </c>
      <c r="B1919" s="455">
        <f>VLOOKUP(LEFT($C$3:$C$2600,3),Table!$D$2:$E$88,2,FALSE)</f>
        <v>0</v>
      </c>
      <c r="C1919" s="455" t="str">
        <f t="shared" si="59"/>
        <v>T</v>
      </c>
      <c r="D1919" s="455" t="e">
        <f>VLOOKUP(G1919,Table!$G$3:$H$21,2,FALSE)</f>
        <v>#N/A</v>
      </c>
      <c r="E1919" s="452"/>
      <c r="F1919" s="452"/>
      <c r="G1919" s="452" t="s">
        <v>844</v>
      </c>
      <c r="H1919" s="452"/>
      <c r="I1919" s="453" t="s">
        <v>844</v>
      </c>
      <c r="J1919" s="453"/>
      <c r="K1919" s="461"/>
      <c r="L1919" s="461"/>
      <c r="M1919" s="461"/>
      <c r="N1919" s="461"/>
      <c r="O1919" s="461"/>
      <c r="P1919" s="461"/>
      <c r="Q1919" s="461"/>
      <c r="R1919" s="461"/>
      <c r="S1919" s="461"/>
      <c r="T1919" s="461"/>
      <c r="U1919" s="461"/>
      <c r="V1919" s="461"/>
    </row>
    <row r="1920" spans="1:22" s="455" customFormat="1" hidden="1">
      <c r="A1920" s="455" t="str">
        <f t="shared" si="58"/>
        <v>T</v>
      </c>
      <c r="B1920" s="455">
        <f>VLOOKUP(LEFT($C$3:$C$2600,3),Table!$D$2:$E$88,2,FALSE)</f>
        <v>0</v>
      </c>
      <c r="C1920" s="455" t="str">
        <f t="shared" si="59"/>
        <v>T</v>
      </c>
      <c r="D1920" s="455" t="e">
        <f>VLOOKUP(G1920,Table!$G$3:$H$21,2,FALSE)</f>
        <v>#N/A</v>
      </c>
      <c r="E1920" s="452"/>
      <c r="F1920" s="452"/>
      <c r="G1920" s="452" t="s">
        <v>844</v>
      </c>
      <c r="H1920" s="452"/>
      <c r="I1920" s="453" t="s">
        <v>844</v>
      </c>
      <c r="J1920" s="453"/>
      <c r="K1920" s="461"/>
      <c r="L1920" s="461"/>
      <c r="M1920" s="461"/>
      <c r="N1920" s="461"/>
      <c r="O1920" s="461"/>
      <c r="P1920" s="461"/>
      <c r="Q1920" s="461"/>
      <c r="R1920" s="461"/>
      <c r="S1920" s="461"/>
      <c r="T1920" s="461"/>
      <c r="U1920" s="461"/>
      <c r="V1920" s="461"/>
    </row>
    <row r="1921" spans="1:22" s="455" customFormat="1" hidden="1">
      <c r="A1921" s="455" t="str">
        <f t="shared" si="58"/>
        <v>T</v>
      </c>
      <c r="B1921" s="455">
        <f>VLOOKUP(LEFT($C$3:$C$2600,3),Table!$D$2:$E$88,2,FALSE)</f>
        <v>0</v>
      </c>
      <c r="C1921" s="455" t="str">
        <f t="shared" si="59"/>
        <v>T</v>
      </c>
      <c r="D1921" s="455" t="e">
        <f>VLOOKUP(G1921,Table!$G$3:$H$21,2,FALSE)</f>
        <v>#N/A</v>
      </c>
      <c r="E1921" s="452"/>
      <c r="F1921" s="452"/>
      <c r="G1921" s="452" t="s">
        <v>844</v>
      </c>
      <c r="H1921" s="452"/>
      <c r="I1921" s="453" t="s">
        <v>844</v>
      </c>
      <c r="J1921" s="453"/>
      <c r="K1921" s="461"/>
      <c r="L1921" s="461"/>
      <c r="M1921" s="461"/>
      <c r="N1921" s="461"/>
      <c r="O1921" s="461"/>
      <c r="P1921" s="461"/>
      <c r="Q1921" s="461"/>
      <c r="R1921" s="461"/>
      <c r="S1921" s="461"/>
      <c r="T1921" s="461"/>
      <c r="U1921" s="461"/>
      <c r="V1921" s="461"/>
    </row>
    <row r="1922" spans="1:22" s="455" customFormat="1" hidden="1">
      <c r="A1922" s="455" t="str">
        <f t="shared" si="58"/>
        <v>T</v>
      </c>
      <c r="B1922" s="455">
        <f>VLOOKUP(LEFT($C$3:$C$2600,3),Table!$D$2:$E$88,2,FALSE)</f>
        <v>0</v>
      </c>
      <c r="C1922" s="455" t="str">
        <f t="shared" si="59"/>
        <v>T</v>
      </c>
      <c r="D1922" s="455" t="e">
        <f>VLOOKUP(G1922,Table!$G$3:$H$21,2,FALSE)</f>
        <v>#N/A</v>
      </c>
      <c r="E1922" s="452"/>
      <c r="F1922" s="452"/>
      <c r="G1922" s="452" t="s">
        <v>844</v>
      </c>
      <c r="H1922" s="452"/>
      <c r="I1922" s="453" t="s">
        <v>844</v>
      </c>
      <c r="J1922" s="453"/>
      <c r="K1922" s="461"/>
      <c r="L1922" s="461"/>
      <c r="M1922" s="461"/>
      <c r="N1922" s="461"/>
      <c r="O1922" s="461"/>
      <c r="P1922" s="461"/>
      <c r="Q1922" s="461"/>
      <c r="R1922" s="461"/>
      <c r="S1922" s="461"/>
      <c r="T1922" s="461"/>
      <c r="U1922" s="461"/>
      <c r="V1922" s="461"/>
    </row>
    <row r="1923" spans="1:22" s="455" customFormat="1" hidden="1">
      <c r="A1923" s="455" t="str">
        <f t="shared" si="58"/>
        <v>T</v>
      </c>
      <c r="B1923" s="455">
        <f>VLOOKUP(LEFT($C$3:$C$2600,3),Table!$D$2:$E$88,2,FALSE)</f>
        <v>0</v>
      </c>
      <c r="C1923" s="455" t="str">
        <f t="shared" si="59"/>
        <v>T</v>
      </c>
      <c r="D1923" s="455" t="e">
        <f>VLOOKUP(G1923,Table!$G$3:$H$21,2,FALSE)</f>
        <v>#N/A</v>
      </c>
      <c r="E1923" s="452"/>
      <c r="F1923" s="452"/>
      <c r="G1923" s="452" t="s">
        <v>844</v>
      </c>
      <c r="H1923" s="452"/>
      <c r="I1923" s="453" t="s">
        <v>844</v>
      </c>
      <c r="J1923" s="453"/>
      <c r="K1923" s="461"/>
      <c r="L1923" s="461"/>
      <c r="M1923" s="461"/>
      <c r="N1923" s="461"/>
      <c r="O1923" s="461"/>
      <c r="P1923" s="461"/>
      <c r="Q1923" s="461"/>
      <c r="R1923" s="461"/>
      <c r="S1923" s="461"/>
      <c r="T1923" s="461"/>
      <c r="U1923" s="461"/>
      <c r="V1923" s="461"/>
    </row>
    <row r="1924" spans="1:22" s="455" customFormat="1" hidden="1">
      <c r="A1924" s="455" t="str">
        <f t="shared" ref="A1924:A1987" si="60">F1924&amp;G1924</f>
        <v>T</v>
      </c>
      <c r="B1924" s="455">
        <f>VLOOKUP(LEFT($C$3:$C$2600,3),Table!$D$2:$E$88,2,FALSE)</f>
        <v>0</v>
      </c>
      <c r="C1924" s="455" t="str">
        <f t="shared" ref="C1924:C1987" si="61">IF(ISNA(D1924),G1924,D1924)</f>
        <v>T</v>
      </c>
      <c r="D1924" s="455" t="e">
        <f>VLOOKUP(G1924,Table!$G$3:$H$21,2,FALSE)</f>
        <v>#N/A</v>
      </c>
      <c r="E1924" s="452"/>
      <c r="F1924" s="452"/>
      <c r="G1924" s="452" t="s">
        <v>844</v>
      </c>
      <c r="H1924" s="452"/>
      <c r="I1924" s="453" t="s">
        <v>844</v>
      </c>
      <c r="J1924" s="453"/>
      <c r="K1924" s="461"/>
      <c r="L1924" s="461"/>
      <c r="M1924" s="461"/>
      <c r="N1924" s="461"/>
      <c r="O1924" s="461"/>
      <c r="P1924" s="461"/>
      <c r="Q1924" s="461"/>
      <c r="R1924" s="461"/>
      <c r="S1924" s="461"/>
      <c r="T1924" s="461"/>
      <c r="U1924" s="461"/>
      <c r="V1924" s="461"/>
    </row>
    <row r="1925" spans="1:22" s="455" customFormat="1" hidden="1">
      <c r="A1925" s="455" t="str">
        <f t="shared" si="60"/>
        <v>T</v>
      </c>
      <c r="B1925" s="455">
        <f>VLOOKUP(LEFT($C$3:$C$2600,3),Table!$D$2:$E$88,2,FALSE)</f>
        <v>0</v>
      </c>
      <c r="C1925" s="455" t="str">
        <f t="shared" si="61"/>
        <v>T</v>
      </c>
      <c r="D1925" s="455" t="e">
        <f>VLOOKUP(G1925,Table!$G$3:$H$21,2,FALSE)</f>
        <v>#N/A</v>
      </c>
      <c r="E1925" s="452"/>
      <c r="F1925" s="452"/>
      <c r="G1925" s="452" t="s">
        <v>844</v>
      </c>
      <c r="H1925" s="452"/>
      <c r="I1925" s="453" t="s">
        <v>844</v>
      </c>
      <c r="J1925" s="453"/>
      <c r="K1925" s="461"/>
      <c r="L1925" s="461"/>
      <c r="M1925" s="461"/>
      <c r="N1925" s="461"/>
      <c r="O1925" s="461"/>
      <c r="P1925" s="461"/>
      <c r="Q1925" s="461"/>
      <c r="R1925" s="461"/>
      <c r="S1925" s="461"/>
      <c r="T1925" s="461"/>
      <c r="U1925" s="461"/>
      <c r="V1925" s="461"/>
    </row>
    <row r="1926" spans="1:22" s="455" customFormat="1" hidden="1">
      <c r="A1926" s="455" t="str">
        <f t="shared" si="60"/>
        <v>T</v>
      </c>
      <c r="B1926" s="455">
        <f>VLOOKUP(LEFT($C$3:$C$2600,3),Table!$D$2:$E$88,2,FALSE)</f>
        <v>0</v>
      </c>
      <c r="C1926" s="455" t="str">
        <f t="shared" si="61"/>
        <v>T</v>
      </c>
      <c r="D1926" s="455" t="e">
        <f>VLOOKUP(G1926,Table!$G$3:$H$21,2,FALSE)</f>
        <v>#N/A</v>
      </c>
      <c r="E1926" s="452"/>
      <c r="F1926" s="452"/>
      <c r="G1926" s="452" t="s">
        <v>844</v>
      </c>
      <c r="H1926" s="452"/>
      <c r="I1926" s="453" t="s">
        <v>844</v>
      </c>
      <c r="J1926" s="453"/>
      <c r="K1926" s="461"/>
      <c r="L1926" s="461"/>
      <c r="M1926" s="461"/>
      <c r="N1926" s="461"/>
      <c r="O1926" s="461"/>
      <c r="P1926" s="461"/>
      <c r="Q1926" s="461"/>
      <c r="R1926" s="461"/>
      <c r="S1926" s="461"/>
      <c r="T1926" s="461"/>
      <c r="U1926" s="461"/>
      <c r="V1926" s="461"/>
    </row>
    <row r="1927" spans="1:22" s="455" customFormat="1" hidden="1">
      <c r="A1927" s="455" t="str">
        <f t="shared" si="60"/>
        <v>T</v>
      </c>
      <c r="B1927" s="455">
        <f>VLOOKUP(LEFT($C$3:$C$2600,3),Table!$D$2:$E$88,2,FALSE)</f>
        <v>0</v>
      </c>
      <c r="C1927" s="455" t="str">
        <f t="shared" si="61"/>
        <v>T</v>
      </c>
      <c r="D1927" s="455" t="e">
        <f>VLOOKUP(G1927,Table!$G$3:$H$21,2,FALSE)</f>
        <v>#N/A</v>
      </c>
      <c r="E1927" s="452"/>
      <c r="F1927" s="452"/>
      <c r="G1927" s="452" t="s">
        <v>844</v>
      </c>
      <c r="H1927" s="452"/>
      <c r="I1927" s="453" t="s">
        <v>844</v>
      </c>
      <c r="J1927" s="453"/>
      <c r="K1927" s="461"/>
      <c r="L1927" s="461"/>
      <c r="M1927" s="461"/>
      <c r="N1927" s="461"/>
      <c r="O1927" s="461"/>
      <c r="P1927" s="461"/>
      <c r="Q1927" s="461"/>
      <c r="R1927" s="461"/>
      <c r="S1927" s="461"/>
      <c r="T1927" s="461"/>
      <c r="U1927" s="461"/>
      <c r="V1927" s="461"/>
    </row>
    <row r="1928" spans="1:22" s="455" customFormat="1" hidden="1">
      <c r="A1928" s="455" t="str">
        <f t="shared" si="60"/>
        <v>T</v>
      </c>
      <c r="B1928" s="455">
        <f>VLOOKUP(LEFT($C$3:$C$2600,3),Table!$D$2:$E$88,2,FALSE)</f>
        <v>0</v>
      </c>
      <c r="C1928" s="455" t="str">
        <f t="shared" si="61"/>
        <v>T</v>
      </c>
      <c r="D1928" s="455" t="e">
        <f>VLOOKUP(G1928,Table!$G$3:$H$21,2,FALSE)</f>
        <v>#N/A</v>
      </c>
      <c r="E1928" s="452"/>
      <c r="F1928" s="452"/>
      <c r="G1928" s="452" t="s">
        <v>844</v>
      </c>
      <c r="H1928" s="452"/>
      <c r="I1928" s="453" t="s">
        <v>844</v>
      </c>
      <c r="J1928" s="453"/>
      <c r="K1928" s="461"/>
      <c r="L1928" s="461"/>
      <c r="M1928" s="461"/>
      <c r="N1928" s="461"/>
      <c r="O1928" s="461"/>
      <c r="P1928" s="461"/>
      <c r="Q1928" s="461"/>
      <c r="R1928" s="461"/>
      <c r="S1928" s="461"/>
      <c r="T1928" s="461"/>
      <c r="U1928" s="461"/>
      <c r="V1928" s="461"/>
    </row>
    <row r="1929" spans="1:22" s="455" customFormat="1" hidden="1">
      <c r="A1929" s="455" t="str">
        <f t="shared" si="60"/>
        <v>T</v>
      </c>
      <c r="B1929" s="455">
        <f>VLOOKUP(LEFT($C$3:$C$2600,3),Table!$D$2:$E$88,2,FALSE)</f>
        <v>0</v>
      </c>
      <c r="C1929" s="455" t="str">
        <f t="shared" si="61"/>
        <v>T</v>
      </c>
      <c r="D1929" s="455" t="e">
        <f>VLOOKUP(G1929,Table!$G$3:$H$21,2,FALSE)</f>
        <v>#N/A</v>
      </c>
      <c r="E1929" s="452"/>
      <c r="F1929" s="452"/>
      <c r="G1929" s="452" t="s">
        <v>844</v>
      </c>
      <c r="H1929" s="452"/>
      <c r="I1929" s="453" t="s">
        <v>844</v>
      </c>
      <c r="J1929" s="453"/>
      <c r="K1929" s="461"/>
      <c r="L1929" s="461"/>
      <c r="M1929" s="461"/>
      <c r="N1929" s="461"/>
      <c r="O1929" s="461"/>
      <c r="P1929" s="461"/>
      <c r="Q1929" s="461"/>
      <c r="R1929" s="461"/>
      <c r="S1929" s="461"/>
      <c r="T1929" s="461"/>
      <c r="U1929" s="461"/>
      <c r="V1929" s="461"/>
    </row>
    <row r="1930" spans="1:22" s="455" customFormat="1" hidden="1">
      <c r="A1930" s="455" t="str">
        <f t="shared" si="60"/>
        <v>T</v>
      </c>
      <c r="B1930" s="455">
        <f>VLOOKUP(LEFT($C$3:$C$2600,3),Table!$D$2:$E$88,2,FALSE)</f>
        <v>0</v>
      </c>
      <c r="C1930" s="455" t="str">
        <f t="shared" si="61"/>
        <v>T</v>
      </c>
      <c r="D1930" s="455" t="e">
        <f>VLOOKUP(G1930,Table!$G$3:$H$21,2,FALSE)</f>
        <v>#N/A</v>
      </c>
      <c r="E1930" s="452"/>
      <c r="F1930" s="452"/>
      <c r="G1930" s="452" t="s">
        <v>844</v>
      </c>
      <c r="H1930" s="452"/>
      <c r="I1930" s="453" t="s">
        <v>844</v>
      </c>
      <c r="J1930" s="453"/>
      <c r="K1930" s="461"/>
      <c r="L1930" s="461"/>
      <c r="M1930" s="461"/>
      <c r="N1930" s="461"/>
      <c r="O1930" s="461"/>
      <c r="P1930" s="461"/>
      <c r="Q1930" s="461"/>
      <c r="R1930" s="461"/>
      <c r="S1930" s="461"/>
      <c r="T1930" s="461"/>
      <c r="U1930" s="461"/>
      <c r="V1930" s="461"/>
    </row>
    <row r="1931" spans="1:22" s="455" customFormat="1" hidden="1">
      <c r="A1931" s="455" t="str">
        <f t="shared" si="60"/>
        <v>T</v>
      </c>
      <c r="B1931" s="455">
        <f>VLOOKUP(LEFT($C$3:$C$2600,3),Table!$D$2:$E$88,2,FALSE)</f>
        <v>0</v>
      </c>
      <c r="C1931" s="455" t="str">
        <f t="shared" si="61"/>
        <v>T</v>
      </c>
      <c r="D1931" s="455" t="e">
        <f>VLOOKUP(G1931,Table!$G$3:$H$21,2,FALSE)</f>
        <v>#N/A</v>
      </c>
      <c r="E1931" s="452"/>
      <c r="F1931" s="452"/>
      <c r="G1931" s="452" t="s">
        <v>844</v>
      </c>
      <c r="H1931" s="452"/>
      <c r="I1931" s="453" t="s">
        <v>844</v>
      </c>
      <c r="J1931" s="453"/>
      <c r="K1931" s="461"/>
      <c r="L1931" s="461"/>
      <c r="M1931" s="461"/>
      <c r="N1931" s="461"/>
      <c r="O1931" s="461"/>
      <c r="P1931" s="461"/>
      <c r="Q1931" s="461"/>
      <c r="R1931" s="461"/>
      <c r="S1931" s="461"/>
      <c r="T1931" s="461"/>
      <c r="U1931" s="461"/>
      <c r="V1931" s="461"/>
    </row>
    <row r="1932" spans="1:22" s="455" customFormat="1" hidden="1">
      <c r="A1932" s="455" t="str">
        <f t="shared" si="60"/>
        <v>T</v>
      </c>
      <c r="B1932" s="455">
        <f>VLOOKUP(LEFT($C$3:$C$2600,3),Table!$D$2:$E$88,2,FALSE)</f>
        <v>0</v>
      </c>
      <c r="C1932" s="455" t="str">
        <f t="shared" si="61"/>
        <v>T</v>
      </c>
      <c r="D1932" s="455" t="e">
        <f>VLOOKUP(G1932,Table!$G$3:$H$21,2,FALSE)</f>
        <v>#N/A</v>
      </c>
      <c r="E1932" s="452"/>
      <c r="F1932" s="452"/>
      <c r="G1932" s="452" t="s">
        <v>844</v>
      </c>
      <c r="H1932" s="452"/>
      <c r="I1932" s="453" t="s">
        <v>844</v>
      </c>
      <c r="J1932" s="453"/>
      <c r="K1932" s="461"/>
      <c r="L1932" s="461"/>
      <c r="M1932" s="461"/>
      <c r="N1932" s="461"/>
      <c r="O1932" s="461"/>
      <c r="P1932" s="461"/>
      <c r="Q1932" s="461"/>
      <c r="R1932" s="461"/>
      <c r="S1932" s="461"/>
      <c r="T1932" s="461"/>
      <c r="U1932" s="461"/>
      <c r="V1932" s="461"/>
    </row>
    <row r="1933" spans="1:22" s="455" customFormat="1" hidden="1">
      <c r="A1933" s="455" t="str">
        <f t="shared" si="60"/>
        <v>T</v>
      </c>
      <c r="B1933" s="455">
        <f>VLOOKUP(LEFT($C$3:$C$2600,3),Table!$D$2:$E$88,2,FALSE)</f>
        <v>0</v>
      </c>
      <c r="C1933" s="455" t="str">
        <f t="shared" si="61"/>
        <v>T</v>
      </c>
      <c r="D1933" s="455" t="e">
        <f>VLOOKUP(G1933,Table!$G$3:$H$21,2,FALSE)</f>
        <v>#N/A</v>
      </c>
      <c r="E1933" s="452"/>
      <c r="F1933" s="452"/>
      <c r="G1933" s="452" t="s">
        <v>844</v>
      </c>
      <c r="H1933" s="452"/>
      <c r="I1933" s="453" t="s">
        <v>844</v>
      </c>
      <c r="J1933" s="453"/>
      <c r="K1933" s="461"/>
      <c r="L1933" s="461"/>
      <c r="M1933" s="461"/>
      <c r="N1933" s="461"/>
      <c r="O1933" s="461"/>
      <c r="P1933" s="461"/>
      <c r="Q1933" s="461"/>
      <c r="R1933" s="461"/>
      <c r="S1933" s="461"/>
      <c r="T1933" s="461"/>
      <c r="U1933" s="461"/>
      <c r="V1933" s="461"/>
    </row>
    <row r="1934" spans="1:22" s="455" customFormat="1" hidden="1">
      <c r="A1934" s="455" t="str">
        <f t="shared" si="60"/>
        <v>T</v>
      </c>
      <c r="B1934" s="455">
        <f>VLOOKUP(LEFT($C$3:$C$2600,3),Table!$D$2:$E$88,2,FALSE)</f>
        <v>0</v>
      </c>
      <c r="C1934" s="455" t="str">
        <f t="shared" si="61"/>
        <v>T</v>
      </c>
      <c r="D1934" s="455" t="e">
        <f>VLOOKUP(G1934,Table!$G$3:$H$21,2,FALSE)</f>
        <v>#N/A</v>
      </c>
      <c r="E1934" s="452"/>
      <c r="F1934" s="452"/>
      <c r="G1934" s="452" t="s">
        <v>844</v>
      </c>
      <c r="H1934" s="452"/>
      <c r="I1934" s="453" t="s">
        <v>844</v>
      </c>
      <c r="J1934" s="453"/>
      <c r="K1934" s="461"/>
      <c r="L1934" s="461"/>
      <c r="M1934" s="461"/>
      <c r="N1934" s="461"/>
      <c r="O1934" s="461"/>
      <c r="P1934" s="461"/>
      <c r="Q1934" s="461"/>
      <c r="R1934" s="461"/>
      <c r="S1934" s="461"/>
      <c r="T1934" s="461"/>
      <c r="U1934" s="461"/>
      <c r="V1934" s="461"/>
    </row>
    <row r="1935" spans="1:22" s="455" customFormat="1" hidden="1">
      <c r="A1935" s="455" t="str">
        <f t="shared" si="60"/>
        <v>T</v>
      </c>
      <c r="B1935" s="455">
        <f>VLOOKUP(LEFT($C$3:$C$2600,3),Table!$D$2:$E$88,2,FALSE)</f>
        <v>0</v>
      </c>
      <c r="C1935" s="455" t="str">
        <f t="shared" si="61"/>
        <v>T</v>
      </c>
      <c r="D1935" s="455" t="e">
        <f>VLOOKUP(G1935,Table!$G$3:$H$21,2,FALSE)</f>
        <v>#N/A</v>
      </c>
      <c r="E1935" s="452"/>
      <c r="F1935" s="452"/>
      <c r="G1935" s="452" t="s">
        <v>844</v>
      </c>
      <c r="H1935" s="452"/>
      <c r="I1935" s="453" t="s">
        <v>844</v>
      </c>
      <c r="J1935" s="453"/>
      <c r="K1935" s="461"/>
      <c r="L1935" s="461"/>
      <c r="M1935" s="461"/>
      <c r="N1935" s="461"/>
      <c r="O1935" s="461"/>
      <c r="P1935" s="461"/>
      <c r="Q1935" s="461"/>
      <c r="R1935" s="461"/>
      <c r="S1935" s="461"/>
      <c r="T1935" s="461"/>
      <c r="U1935" s="461"/>
      <c r="V1935" s="461"/>
    </row>
    <row r="1936" spans="1:22" s="455" customFormat="1" hidden="1">
      <c r="A1936" s="455" t="str">
        <f t="shared" si="60"/>
        <v>T</v>
      </c>
      <c r="B1936" s="455">
        <f>VLOOKUP(LEFT($C$3:$C$2600,3),Table!$D$2:$E$88,2,FALSE)</f>
        <v>0</v>
      </c>
      <c r="C1936" s="455" t="str">
        <f t="shared" si="61"/>
        <v>T</v>
      </c>
      <c r="D1936" s="455" t="e">
        <f>VLOOKUP(G1936,Table!$G$3:$H$21,2,FALSE)</f>
        <v>#N/A</v>
      </c>
      <c r="E1936" s="452"/>
      <c r="F1936" s="452"/>
      <c r="G1936" s="452" t="s">
        <v>844</v>
      </c>
      <c r="H1936" s="452"/>
      <c r="I1936" s="453" t="s">
        <v>844</v>
      </c>
      <c r="J1936" s="453"/>
      <c r="K1936" s="461"/>
      <c r="L1936" s="461"/>
      <c r="M1936" s="461"/>
      <c r="N1936" s="461"/>
      <c r="O1936" s="461"/>
      <c r="P1936" s="461"/>
      <c r="Q1936" s="461"/>
      <c r="R1936" s="461"/>
      <c r="S1936" s="461"/>
      <c r="T1936" s="461"/>
      <c r="U1936" s="461"/>
      <c r="V1936" s="461"/>
    </row>
    <row r="1937" spans="1:22" s="455" customFormat="1" hidden="1">
      <c r="A1937" s="455" t="str">
        <f t="shared" si="60"/>
        <v>T</v>
      </c>
      <c r="B1937" s="455">
        <f>VLOOKUP(LEFT($C$3:$C$2600,3),Table!$D$2:$E$88,2,FALSE)</f>
        <v>0</v>
      </c>
      <c r="C1937" s="455" t="str">
        <f t="shared" si="61"/>
        <v>T</v>
      </c>
      <c r="D1937" s="455" t="e">
        <f>VLOOKUP(G1937,Table!$G$3:$H$21,2,FALSE)</f>
        <v>#N/A</v>
      </c>
      <c r="E1937" s="452"/>
      <c r="F1937" s="452"/>
      <c r="G1937" s="452" t="s">
        <v>844</v>
      </c>
      <c r="H1937" s="452"/>
      <c r="I1937" s="453" t="s">
        <v>844</v>
      </c>
      <c r="J1937" s="453"/>
      <c r="K1937" s="461"/>
      <c r="L1937" s="461"/>
      <c r="M1937" s="461"/>
      <c r="N1937" s="461"/>
      <c r="O1937" s="461"/>
      <c r="P1937" s="461"/>
      <c r="Q1937" s="461"/>
      <c r="R1937" s="461"/>
      <c r="S1937" s="461"/>
      <c r="T1937" s="461"/>
      <c r="U1937" s="461"/>
      <c r="V1937" s="461"/>
    </row>
    <row r="1938" spans="1:22" s="455" customFormat="1" hidden="1">
      <c r="A1938" s="455" t="str">
        <f t="shared" si="60"/>
        <v>T</v>
      </c>
      <c r="B1938" s="455">
        <f>VLOOKUP(LEFT($C$3:$C$2600,3),Table!$D$2:$E$88,2,FALSE)</f>
        <v>0</v>
      </c>
      <c r="C1938" s="455" t="str">
        <f t="shared" si="61"/>
        <v>T</v>
      </c>
      <c r="D1938" s="455" t="e">
        <f>VLOOKUP(G1938,Table!$G$3:$H$21,2,FALSE)</f>
        <v>#N/A</v>
      </c>
      <c r="E1938" s="452"/>
      <c r="F1938" s="452"/>
      <c r="G1938" s="452" t="s">
        <v>844</v>
      </c>
      <c r="H1938" s="452"/>
      <c r="I1938" s="453" t="s">
        <v>844</v>
      </c>
      <c r="J1938" s="453"/>
      <c r="K1938" s="461"/>
      <c r="L1938" s="461"/>
      <c r="M1938" s="461"/>
      <c r="N1938" s="461"/>
      <c r="O1938" s="461"/>
      <c r="P1938" s="461"/>
      <c r="Q1938" s="461"/>
      <c r="R1938" s="461"/>
      <c r="S1938" s="461"/>
      <c r="T1938" s="461"/>
      <c r="U1938" s="461"/>
      <c r="V1938" s="461"/>
    </row>
    <row r="1939" spans="1:22" s="455" customFormat="1" hidden="1">
      <c r="A1939" s="455" t="str">
        <f t="shared" si="60"/>
        <v>T</v>
      </c>
      <c r="B1939" s="455">
        <f>VLOOKUP(LEFT($C$3:$C$2600,3),Table!$D$2:$E$88,2,FALSE)</f>
        <v>0</v>
      </c>
      <c r="C1939" s="455" t="str">
        <f t="shared" si="61"/>
        <v>T</v>
      </c>
      <c r="D1939" s="455" t="e">
        <f>VLOOKUP(G1939,Table!$G$3:$H$21,2,FALSE)</f>
        <v>#N/A</v>
      </c>
      <c r="E1939" s="452"/>
      <c r="F1939" s="452"/>
      <c r="G1939" s="452" t="s">
        <v>844</v>
      </c>
      <c r="H1939" s="452"/>
      <c r="I1939" s="453" t="s">
        <v>844</v>
      </c>
      <c r="J1939" s="453"/>
      <c r="K1939" s="461"/>
      <c r="L1939" s="461"/>
      <c r="M1939" s="461"/>
      <c r="N1939" s="461"/>
      <c r="O1939" s="461"/>
      <c r="P1939" s="461"/>
      <c r="Q1939" s="461"/>
      <c r="R1939" s="461"/>
      <c r="S1939" s="461"/>
      <c r="T1939" s="461"/>
      <c r="U1939" s="461"/>
      <c r="V1939" s="461"/>
    </row>
    <row r="1940" spans="1:22" s="455" customFormat="1" hidden="1">
      <c r="A1940" s="455" t="str">
        <f t="shared" si="60"/>
        <v>T</v>
      </c>
      <c r="B1940" s="455">
        <f>VLOOKUP(LEFT($C$3:$C$2600,3),Table!$D$2:$E$88,2,FALSE)</f>
        <v>0</v>
      </c>
      <c r="C1940" s="455" t="str">
        <f t="shared" si="61"/>
        <v>T</v>
      </c>
      <c r="D1940" s="455" t="e">
        <f>VLOOKUP(G1940,Table!$G$3:$H$21,2,FALSE)</f>
        <v>#N/A</v>
      </c>
      <c r="E1940" s="452"/>
      <c r="F1940" s="452"/>
      <c r="G1940" s="452" t="s">
        <v>844</v>
      </c>
      <c r="H1940" s="452"/>
      <c r="I1940" s="453" t="s">
        <v>844</v>
      </c>
      <c r="J1940" s="453"/>
      <c r="K1940" s="461"/>
      <c r="L1940" s="461"/>
      <c r="M1940" s="461"/>
      <c r="N1940" s="461"/>
      <c r="O1940" s="461"/>
      <c r="P1940" s="461"/>
      <c r="Q1940" s="461"/>
      <c r="R1940" s="461"/>
      <c r="S1940" s="461"/>
      <c r="T1940" s="461"/>
      <c r="U1940" s="461"/>
      <c r="V1940" s="461"/>
    </row>
    <row r="1941" spans="1:22" s="455" customFormat="1" hidden="1">
      <c r="A1941" s="455" t="str">
        <f t="shared" si="60"/>
        <v>T</v>
      </c>
      <c r="B1941" s="455">
        <f>VLOOKUP(LEFT($C$3:$C$2600,3),Table!$D$2:$E$88,2,FALSE)</f>
        <v>0</v>
      </c>
      <c r="C1941" s="455" t="str">
        <f t="shared" si="61"/>
        <v>T</v>
      </c>
      <c r="D1941" s="455" t="e">
        <f>VLOOKUP(G1941,Table!$G$3:$H$21,2,FALSE)</f>
        <v>#N/A</v>
      </c>
      <c r="E1941" s="452"/>
      <c r="F1941" s="452"/>
      <c r="G1941" s="452" t="s">
        <v>844</v>
      </c>
      <c r="H1941" s="452"/>
      <c r="I1941" s="453" t="s">
        <v>844</v>
      </c>
      <c r="J1941" s="453"/>
      <c r="K1941" s="461"/>
      <c r="L1941" s="461"/>
      <c r="M1941" s="461"/>
      <c r="N1941" s="461"/>
      <c r="O1941" s="461"/>
      <c r="P1941" s="461"/>
      <c r="Q1941" s="461"/>
      <c r="R1941" s="461"/>
      <c r="S1941" s="461"/>
      <c r="T1941" s="461"/>
      <c r="U1941" s="461"/>
      <c r="V1941" s="461"/>
    </row>
    <row r="1942" spans="1:22" s="455" customFormat="1" hidden="1">
      <c r="A1942" s="455" t="str">
        <f t="shared" si="60"/>
        <v>T</v>
      </c>
      <c r="B1942" s="455">
        <f>VLOOKUP(LEFT($C$3:$C$2600,3),Table!$D$2:$E$88,2,FALSE)</f>
        <v>0</v>
      </c>
      <c r="C1942" s="455" t="str">
        <f t="shared" si="61"/>
        <v>T</v>
      </c>
      <c r="D1942" s="455" t="e">
        <f>VLOOKUP(G1942,Table!$G$3:$H$21,2,FALSE)</f>
        <v>#N/A</v>
      </c>
      <c r="E1942" s="452"/>
      <c r="F1942" s="452"/>
      <c r="G1942" s="452" t="s">
        <v>844</v>
      </c>
      <c r="H1942" s="452"/>
      <c r="I1942" s="453" t="s">
        <v>844</v>
      </c>
      <c r="J1942" s="453"/>
      <c r="K1942" s="461"/>
      <c r="L1942" s="461"/>
      <c r="M1942" s="461"/>
      <c r="N1942" s="461"/>
      <c r="O1942" s="461"/>
      <c r="P1942" s="461"/>
      <c r="Q1942" s="461"/>
      <c r="R1942" s="461"/>
      <c r="S1942" s="461"/>
      <c r="T1942" s="461"/>
      <c r="U1942" s="461"/>
      <c r="V1942" s="461"/>
    </row>
    <row r="1943" spans="1:22" s="455" customFormat="1" hidden="1">
      <c r="A1943" s="455" t="str">
        <f t="shared" si="60"/>
        <v>T</v>
      </c>
      <c r="B1943" s="455">
        <f>VLOOKUP(LEFT($C$3:$C$2600,3),Table!$D$2:$E$88,2,FALSE)</f>
        <v>0</v>
      </c>
      <c r="C1943" s="455" t="str">
        <f t="shared" si="61"/>
        <v>T</v>
      </c>
      <c r="D1943" s="455" t="e">
        <f>VLOOKUP(G1943,Table!$G$3:$H$21,2,FALSE)</f>
        <v>#N/A</v>
      </c>
      <c r="E1943" s="452"/>
      <c r="F1943" s="452"/>
      <c r="G1943" s="452" t="s">
        <v>844</v>
      </c>
      <c r="H1943" s="452"/>
      <c r="I1943" s="453" t="s">
        <v>844</v>
      </c>
      <c r="J1943" s="453"/>
      <c r="K1943" s="461"/>
      <c r="L1943" s="461"/>
      <c r="M1943" s="461"/>
      <c r="N1943" s="461"/>
      <c r="O1943" s="461"/>
      <c r="P1943" s="461"/>
      <c r="Q1943" s="461"/>
      <c r="R1943" s="461"/>
      <c r="S1943" s="461"/>
      <c r="T1943" s="461"/>
      <c r="U1943" s="461"/>
      <c r="V1943" s="461"/>
    </row>
    <row r="1944" spans="1:22" s="455" customFormat="1" hidden="1">
      <c r="A1944" s="455" t="str">
        <f t="shared" si="60"/>
        <v>T</v>
      </c>
      <c r="B1944" s="455">
        <f>VLOOKUP(LEFT($C$3:$C$2600,3),Table!$D$2:$E$88,2,FALSE)</f>
        <v>0</v>
      </c>
      <c r="C1944" s="455" t="str">
        <f t="shared" si="61"/>
        <v>T</v>
      </c>
      <c r="D1944" s="455" t="e">
        <f>VLOOKUP(G1944,Table!$G$3:$H$21,2,FALSE)</f>
        <v>#N/A</v>
      </c>
      <c r="E1944" s="452"/>
      <c r="F1944" s="452"/>
      <c r="G1944" s="452" t="s">
        <v>844</v>
      </c>
      <c r="H1944" s="452"/>
      <c r="I1944" s="453" t="s">
        <v>844</v>
      </c>
      <c r="J1944" s="453"/>
      <c r="K1944" s="461"/>
      <c r="L1944" s="461"/>
      <c r="M1944" s="461"/>
      <c r="N1944" s="461"/>
      <c r="O1944" s="461"/>
      <c r="P1944" s="461"/>
      <c r="Q1944" s="461"/>
      <c r="R1944" s="461"/>
      <c r="S1944" s="461"/>
      <c r="T1944" s="461"/>
      <c r="U1944" s="461"/>
      <c r="V1944" s="461"/>
    </row>
    <row r="1945" spans="1:22" s="455" customFormat="1" hidden="1">
      <c r="A1945" s="455" t="str">
        <f t="shared" si="60"/>
        <v>T</v>
      </c>
      <c r="B1945" s="455">
        <f>VLOOKUP(LEFT($C$3:$C$2600,3),Table!$D$2:$E$88,2,FALSE)</f>
        <v>0</v>
      </c>
      <c r="C1945" s="455" t="str">
        <f t="shared" si="61"/>
        <v>T</v>
      </c>
      <c r="D1945" s="455" t="e">
        <f>VLOOKUP(G1945,Table!$G$3:$H$21,2,FALSE)</f>
        <v>#N/A</v>
      </c>
      <c r="E1945" s="452"/>
      <c r="F1945" s="452"/>
      <c r="G1945" s="452" t="s">
        <v>844</v>
      </c>
      <c r="H1945" s="452"/>
      <c r="I1945" s="453" t="s">
        <v>844</v>
      </c>
      <c r="J1945" s="453"/>
      <c r="K1945" s="461"/>
      <c r="L1945" s="461"/>
      <c r="M1945" s="461"/>
      <c r="N1945" s="461"/>
      <c r="O1945" s="461"/>
      <c r="P1945" s="461"/>
      <c r="Q1945" s="461"/>
      <c r="R1945" s="461"/>
      <c r="S1945" s="461"/>
      <c r="T1945" s="461"/>
      <c r="U1945" s="461"/>
      <c r="V1945" s="461"/>
    </row>
    <row r="1946" spans="1:22" s="455" customFormat="1" hidden="1">
      <c r="A1946" s="455" t="str">
        <f t="shared" si="60"/>
        <v>T</v>
      </c>
      <c r="B1946" s="455">
        <f>VLOOKUP(LEFT($C$3:$C$2600,3),Table!$D$2:$E$88,2,FALSE)</f>
        <v>0</v>
      </c>
      <c r="C1946" s="455" t="str">
        <f t="shared" si="61"/>
        <v>T</v>
      </c>
      <c r="D1946" s="455" t="e">
        <f>VLOOKUP(G1946,Table!$G$3:$H$21,2,FALSE)</f>
        <v>#N/A</v>
      </c>
      <c r="E1946" s="452"/>
      <c r="F1946" s="452"/>
      <c r="G1946" s="452" t="s">
        <v>844</v>
      </c>
      <c r="H1946" s="452"/>
      <c r="I1946" s="453" t="s">
        <v>844</v>
      </c>
      <c r="J1946" s="453"/>
      <c r="K1946" s="461"/>
      <c r="L1946" s="461"/>
      <c r="M1946" s="461"/>
      <c r="N1946" s="461"/>
      <c r="O1946" s="461"/>
      <c r="P1946" s="461"/>
      <c r="Q1946" s="461"/>
      <c r="R1946" s="461"/>
      <c r="S1946" s="461"/>
      <c r="T1946" s="461"/>
      <c r="U1946" s="461"/>
      <c r="V1946" s="461"/>
    </row>
    <row r="1947" spans="1:22" s="455" customFormat="1" hidden="1">
      <c r="A1947" s="455" t="str">
        <f t="shared" si="60"/>
        <v>T</v>
      </c>
      <c r="B1947" s="455">
        <f>VLOOKUP(LEFT($C$3:$C$2600,3),Table!$D$2:$E$88,2,FALSE)</f>
        <v>0</v>
      </c>
      <c r="C1947" s="455" t="str">
        <f t="shared" si="61"/>
        <v>T</v>
      </c>
      <c r="D1947" s="455" t="e">
        <f>VLOOKUP(G1947,Table!$G$3:$H$21,2,FALSE)</f>
        <v>#N/A</v>
      </c>
      <c r="E1947" s="452"/>
      <c r="F1947" s="452"/>
      <c r="G1947" s="452" t="s">
        <v>844</v>
      </c>
      <c r="H1947" s="452"/>
      <c r="I1947" s="453" t="s">
        <v>844</v>
      </c>
      <c r="J1947" s="453"/>
      <c r="K1947" s="461"/>
      <c r="L1947" s="461"/>
      <c r="M1947" s="461"/>
      <c r="N1947" s="461"/>
      <c r="O1947" s="461"/>
      <c r="P1947" s="461"/>
      <c r="Q1947" s="461"/>
      <c r="R1947" s="461"/>
      <c r="S1947" s="461"/>
      <c r="T1947" s="461"/>
      <c r="U1947" s="461"/>
      <c r="V1947" s="461"/>
    </row>
    <row r="1948" spans="1:22" s="455" customFormat="1" hidden="1">
      <c r="A1948" s="455" t="str">
        <f t="shared" si="60"/>
        <v>T</v>
      </c>
      <c r="B1948" s="455">
        <f>VLOOKUP(LEFT($C$3:$C$2600,3),Table!$D$2:$E$88,2,FALSE)</f>
        <v>0</v>
      </c>
      <c r="C1948" s="455" t="str">
        <f t="shared" si="61"/>
        <v>T</v>
      </c>
      <c r="D1948" s="455" t="e">
        <f>VLOOKUP(G1948,Table!$G$3:$H$21,2,FALSE)</f>
        <v>#N/A</v>
      </c>
      <c r="E1948" s="452"/>
      <c r="F1948" s="452"/>
      <c r="G1948" s="452" t="s">
        <v>844</v>
      </c>
      <c r="H1948" s="452"/>
      <c r="I1948" s="453" t="s">
        <v>844</v>
      </c>
      <c r="J1948" s="453"/>
      <c r="K1948" s="461"/>
      <c r="L1948" s="461"/>
      <c r="M1948" s="461"/>
      <c r="N1948" s="461"/>
      <c r="O1948" s="461"/>
      <c r="P1948" s="461"/>
      <c r="Q1948" s="461"/>
      <c r="R1948" s="461"/>
      <c r="S1948" s="461"/>
      <c r="T1948" s="461"/>
      <c r="U1948" s="461"/>
      <c r="V1948" s="461"/>
    </row>
    <row r="1949" spans="1:22" s="455" customFormat="1" hidden="1">
      <c r="A1949" s="455" t="str">
        <f t="shared" si="60"/>
        <v>T</v>
      </c>
      <c r="B1949" s="455">
        <f>VLOOKUP(LEFT($C$3:$C$2600,3),Table!$D$2:$E$88,2,FALSE)</f>
        <v>0</v>
      </c>
      <c r="C1949" s="455" t="str">
        <f t="shared" si="61"/>
        <v>T</v>
      </c>
      <c r="D1949" s="455" t="e">
        <f>VLOOKUP(G1949,Table!$G$3:$H$21,2,FALSE)</f>
        <v>#N/A</v>
      </c>
      <c r="E1949" s="452"/>
      <c r="F1949" s="452"/>
      <c r="G1949" s="452" t="s">
        <v>844</v>
      </c>
      <c r="H1949" s="452"/>
      <c r="I1949" s="453" t="s">
        <v>844</v>
      </c>
      <c r="J1949" s="453"/>
      <c r="K1949" s="461"/>
      <c r="L1949" s="461"/>
      <c r="M1949" s="461"/>
      <c r="N1949" s="461"/>
      <c r="O1949" s="461"/>
      <c r="P1949" s="461"/>
      <c r="Q1949" s="461"/>
      <c r="R1949" s="461"/>
      <c r="S1949" s="461"/>
      <c r="T1949" s="461"/>
      <c r="U1949" s="461"/>
      <c r="V1949" s="461"/>
    </row>
    <row r="1950" spans="1:22" s="455" customFormat="1" hidden="1">
      <c r="A1950" s="455" t="str">
        <f t="shared" si="60"/>
        <v>T</v>
      </c>
      <c r="B1950" s="455">
        <f>VLOOKUP(LEFT($C$3:$C$2600,3),Table!$D$2:$E$88,2,FALSE)</f>
        <v>0</v>
      </c>
      <c r="C1950" s="455" t="str">
        <f t="shared" si="61"/>
        <v>T</v>
      </c>
      <c r="D1950" s="455" t="e">
        <f>VLOOKUP(G1950,Table!$G$3:$H$21,2,FALSE)</f>
        <v>#N/A</v>
      </c>
      <c r="E1950" s="452"/>
      <c r="F1950" s="452"/>
      <c r="G1950" s="452" t="s">
        <v>844</v>
      </c>
      <c r="H1950" s="452"/>
      <c r="I1950" s="453" t="s">
        <v>844</v>
      </c>
      <c r="J1950" s="453"/>
      <c r="K1950" s="461"/>
      <c r="L1950" s="461"/>
      <c r="M1950" s="461"/>
      <c r="N1950" s="461"/>
      <c r="O1950" s="461"/>
      <c r="P1950" s="461"/>
      <c r="Q1950" s="461"/>
      <c r="R1950" s="461"/>
      <c r="S1950" s="461"/>
      <c r="T1950" s="461"/>
      <c r="U1950" s="461"/>
      <c r="V1950" s="461"/>
    </row>
    <row r="1951" spans="1:22" s="455" customFormat="1" hidden="1">
      <c r="A1951" s="455" t="str">
        <f t="shared" si="60"/>
        <v>T</v>
      </c>
      <c r="B1951" s="455">
        <f>VLOOKUP(LEFT($C$3:$C$2600,3),Table!$D$2:$E$88,2,FALSE)</f>
        <v>0</v>
      </c>
      <c r="C1951" s="455" t="str">
        <f t="shared" si="61"/>
        <v>T</v>
      </c>
      <c r="D1951" s="455" t="e">
        <f>VLOOKUP(G1951,Table!$G$3:$H$21,2,FALSE)</f>
        <v>#N/A</v>
      </c>
      <c r="E1951" s="452"/>
      <c r="F1951" s="452"/>
      <c r="G1951" s="452" t="s">
        <v>844</v>
      </c>
      <c r="H1951" s="452"/>
      <c r="I1951" s="453" t="s">
        <v>844</v>
      </c>
      <c r="J1951" s="453"/>
      <c r="K1951" s="461"/>
      <c r="L1951" s="461"/>
      <c r="M1951" s="461"/>
      <c r="N1951" s="461"/>
      <c r="O1951" s="461"/>
      <c r="P1951" s="461"/>
      <c r="Q1951" s="461"/>
      <c r="R1951" s="461"/>
      <c r="S1951" s="461"/>
      <c r="T1951" s="461"/>
      <c r="U1951" s="461"/>
      <c r="V1951" s="461"/>
    </row>
    <row r="1952" spans="1:22" s="455" customFormat="1" hidden="1">
      <c r="A1952" s="455" t="str">
        <f t="shared" si="60"/>
        <v>T</v>
      </c>
      <c r="B1952" s="455">
        <f>VLOOKUP(LEFT($C$3:$C$2600,3),Table!$D$2:$E$88,2,FALSE)</f>
        <v>0</v>
      </c>
      <c r="C1952" s="455" t="str">
        <f t="shared" si="61"/>
        <v>T</v>
      </c>
      <c r="D1952" s="455" t="e">
        <f>VLOOKUP(G1952,Table!$G$3:$H$21,2,FALSE)</f>
        <v>#N/A</v>
      </c>
      <c r="E1952" s="452"/>
      <c r="F1952" s="452"/>
      <c r="G1952" s="452" t="s">
        <v>844</v>
      </c>
      <c r="H1952" s="452"/>
      <c r="I1952" s="453" t="s">
        <v>844</v>
      </c>
      <c r="J1952" s="453"/>
      <c r="K1952" s="461"/>
      <c r="L1952" s="461"/>
      <c r="M1952" s="461"/>
      <c r="N1952" s="461"/>
      <c r="O1952" s="461"/>
      <c r="P1952" s="461"/>
      <c r="Q1952" s="461"/>
      <c r="R1952" s="461"/>
      <c r="S1952" s="461"/>
      <c r="T1952" s="461"/>
      <c r="U1952" s="461"/>
      <c r="V1952" s="461"/>
    </row>
    <row r="1953" spans="1:22" s="455" customFormat="1" hidden="1">
      <c r="A1953" s="455" t="str">
        <f t="shared" si="60"/>
        <v>T</v>
      </c>
      <c r="B1953" s="455">
        <f>VLOOKUP(LEFT($C$3:$C$2600,3),Table!$D$2:$E$88,2,FALSE)</f>
        <v>0</v>
      </c>
      <c r="C1953" s="455" t="str">
        <f t="shared" si="61"/>
        <v>T</v>
      </c>
      <c r="D1953" s="455" t="e">
        <f>VLOOKUP(G1953,Table!$G$3:$H$21,2,FALSE)</f>
        <v>#N/A</v>
      </c>
      <c r="E1953" s="452"/>
      <c r="F1953" s="452"/>
      <c r="G1953" s="452" t="s">
        <v>844</v>
      </c>
      <c r="H1953" s="452"/>
      <c r="I1953" s="453" t="s">
        <v>844</v>
      </c>
      <c r="J1953" s="453"/>
      <c r="K1953" s="461"/>
      <c r="L1953" s="461"/>
      <c r="M1953" s="461"/>
      <c r="N1953" s="461"/>
      <c r="O1953" s="461"/>
      <c r="P1953" s="461"/>
      <c r="Q1953" s="461"/>
      <c r="R1953" s="461"/>
      <c r="S1953" s="461"/>
      <c r="T1953" s="461"/>
      <c r="U1953" s="461"/>
      <c r="V1953" s="461"/>
    </row>
    <row r="1954" spans="1:22" s="455" customFormat="1" hidden="1">
      <c r="A1954" s="455" t="str">
        <f t="shared" si="60"/>
        <v>T</v>
      </c>
      <c r="B1954" s="455">
        <f>VLOOKUP(LEFT($C$3:$C$2600,3),Table!$D$2:$E$88,2,FALSE)</f>
        <v>0</v>
      </c>
      <c r="C1954" s="455" t="str">
        <f t="shared" si="61"/>
        <v>T</v>
      </c>
      <c r="D1954" s="455" t="e">
        <f>VLOOKUP(G1954,Table!$G$3:$H$21,2,FALSE)</f>
        <v>#N/A</v>
      </c>
      <c r="E1954" s="452"/>
      <c r="F1954" s="452"/>
      <c r="G1954" s="452" t="s">
        <v>844</v>
      </c>
      <c r="H1954" s="452"/>
      <c r="I1954" s="453" t="s">
        <v>844</v>
      </c>
      <c r="J1954" s="453"/>
      <c r="K1954" s="461"/>
      <c r="L1954" s="461"/>
      <c r="M1954" s="461"/>
      <c r="N1954" s="461"/>
      <c r="O1954" s="461"/>
      <c r="P1954" s="461"/>
      <c r="Q1954" s="461"/>
      <c r="R1954" s="461"/>
      <c r="S1954" s="461"/>
      <c r="T1954" s="461"/>
      <c r="U1954" s="461"/>
      <c r="V1954" s="461"/>
    </row>
    <row r="1955" spans="1:22" s="455" customFormat="1" hidden="1">
      <c r="A1955" s="455" t="str">
        <f t="shared" si="60"/>
        <v>T</v>
      </c>
      <c r="B1955" s="455">
        <f>VLOOKUP(LEFT($C$3:$C$2600,3),Table!$D$2:$E$88,2,FALSE)</f>
        <v>0</v>
      </c>
      <c r="C1955" s="455" t="str">
        <f t="shared" si="61"/>
        <v>T</v>
      </c>
      <c r="D1955" s="455" t="e">
        <f>VLOOKUP(G1955,Table!$G$3:$H$21,2,FALSE)</f>
        <v>#N/A</v>
      </c>
      <c r="E1955" s="452"/>
      <c r="F1955" s="452"/>
      <c r="G1955" s="452" t="s">
        <v>844</v>
      </c>
      <c r="H1955" s="452"/>
      <c r="I1955" s="453" t="s">
        <v>844</v>
      </c>
      <c r="J1955" s="453"/>
      <c r="K1955" s="461"/>
      <c r="L1955" s="461"/>
      <c r="M1955" s="461"/>
      <c r="N1955" s="461"/>
      <c r="O1955" s="461"/>
      <c r="P1955" s="461"/>
      <c r="Q1955" s="461"/>
      <c r="R1955" s="461"/>
      <c r="S1955" s="461"/>
      <c r="T1955" s="461"/>
      <c r="U1955" s="461"/>
      <c r="V1955" s="461"/>
    </row>
    <row r="1956" spans="1:22" s="455" customFormat="1" hidden="1">
      <c r="A1956" s="455" t="str">
        <f t="shared" si="60"/>
        <v>T</v>
      </c>
      <c r="B1956" s="455">
        <f>VLOOKUP(LEFT($C$3:$C$2600,3),Table!$D$2:$E$88,2,FALSE)</f>
        <v>0</v>
      </c>
      <c r="C1956" s="455" t="str">
        <f t="shared" si="61"/>
        <v>T</v>
      </c>
      <c r="D1956" s="455" t="e">
        <f>VLOOKUP(G1956,Table!$G$3:$H$21,2,FALSE)</f>
        <v>#N/A</v>
      </c>
      <c r="E1956" s="452"/>
      <c r="F1956" s="452"/>
      <c r="G1956" s="452" t="s">
        <v>844</v>
      </c>
      <c r="H1956" s="452"/>
      <c r="I1956" s="453" t="s">
        <v>844</v>
      </c>
      <c r="J1956" s="453"/>
      <c r="K1956" s="461"/>
      <c r="L1956" s="461"/>
      <c r="M1956" s="461"/>
      <c r="N1956" s="461"/>
      <c r="O1956" s="461"/>
      <c r="P1956" s="461"/>
      <c r="Q1956" s="461"/>
      <c r="R1956" s="461"/>
      <c r="S1956" s="461"/>
      <c r="T1956" s="461"/>
      <c r="U1956" s="461"/>
      <c r="V1956" s="461"/>
    </row>
    <row r="1957" spans="1:22" s="455" customFormat="1" hidden="1">
      <c r="A1957" s="455" t="str">
        <f t="shared" si="60"/>
        <v>T</v>
      </c>
      <c r="B1957" s="455">
        <f>VLOOKUP(LEFT($C$3:$C$2600,3),Table!$D$2:$E$88,2,FALSE)</f>
        <v>0</v>
      </c>
      <c r="C1957" s="455" t="str">
        <f t="shared" si="61"/>
        <v>T</v>
      </c>
      <c r="D1957" s="455" t="e">
        <f>VLOOKUP(G1957,Table!$G$3:$H$21,2,FALSE)</f>
        <v>#N/A</v>
      </c>
      <c r="E1957" s="452"/>
      <c r="F1957" s="452"/>
      <c r="G1957" s="452" t="s">
        <v>844</v>
      </c>
      <c r="H1957" s="452"/>
      <c r="I1957" s="453" t="s">
        <v>844</v>
      </c>
      <c r="J1957" s="453"/>
      <c r="K1957" s="461"/>
      <c r="L1957" s="461"/>
      <c r="M1957" s="461"/>
      <c r="N1957" s="461"/>
      <c r="O1957" s="461"/>
      <c r="P1957" s="461"/>
      <c r="Q1957" s="461"/>
      <c r="R1957" s="461"/>
      <c r="S1957" s="461"/>
      <c r="T1957" s="461"/>
      <c r="U1957" s="461"/>
      <c r="V1957" s="461"/>
    </row>
    <row r="1958" spans="1:22" s="455" customFormat="1" hidden="1">
      <c r="A1958" s="455" t="str">
        <f t="shared" si="60"/>
        <v>T</v>
      </c>
      <c r="B1958" s="455">
        <f>VLOOKUP(LEFT($C$3:$C$2600,3),Table!$D$2:$E$88,2,FALSE)</f>
        <v>0</v>
      </c>
      <c r="C1958" s="455" t="str">
        <f t="shared" si="61"/>
        <v>T</v>
      </c>
      <c r="D1958" s="455" t="e">
        <f>VLOOKUP(G1958,Table!$G$3:$H$21,2,FALSE)</f>
        <v>#N/A</v>
      </c>
      <c r="E1958" s="452"/>
      <c r="F1958" s="452"/>
      <c r="G1958" s="452" t="s">
        <v>844</v>
      </c>
      <c r="H1958" s="452"/>
      <c r="I1958" s="453" t="s">
        <v>844</v>
      </c>
      <c r="J1958" s="453"/>
      <c r="K1958" s="461"/>
      <c r="L1958" s="461"/>
      <c r="M1958" s="461"/>
      <c r="N1958" s="461"/>
      <c r="O1958" s="461"/>
      <c r="P1958" s="461"/>
      <c r="Q1958" s="461"/>
      <c r="R1958" s="461"/>
      <c r="S1958" s="461"/>
      <c r="T1958" s="461"/>
      <c r="U1958" s="461"/>
      <c r="V1958" s="461"/>
    </row>
    <row r="1959" spans="1:22" s="455" customFormat="1" hidden="1">
      <c r="A1959" s="455" t="str">
        <f t="shared" si="60"/>
        <v>T</v>
      </c>
      <c r="B1959" s="455">
        <f>VLOOKUP(LEFT($C$3:$C$2600,3),Table!$D$2:$E$88,2,FALSE)</f>
        <v>0</v>
      </c>
      <c r="C1959" s="455" t="str">
        <f t="shared" si="61"/>
        <v>T</v>
      </c>
      <c r="D1959" s="455" t="e">
        <f>VLOOKUP(G1959,Table!$G$3:$H$21,2,FALSE)</f>
        <v>#N/A</v>
      </c>
      <c r="E1959" s="452"/>
      <c r="F1959" s="452"/>
      <c r="G1959" s="452" t="s">
        <v>844</v>
      </c>
      <c r="H1959" s="452"/>
      <c r="I1959" s="453" t="s">
        <v>844</v>
      </c>
      <c r="J1959" s="453"/>
      <c r="K1959" s="461"/>
      <c r="L1959" s="461"/>
      <c r="M1959" s="461"/>
      <c r="N1959" s="461"/>
      <c r="O1959" s="461"/>
      <c r="P1959" s="461"/>
      <c r="Q1959" s="461"/>
      <c r="R1959" s="461"/>
      <c r="S1959" s="461"/>
      <c r="T1959" s="461"/>
      <c r="U1959" s="461"/>
      <c r="V1959" s="461"/>
    </row>
    <row r="1960" spans="1:22" s="455" customFormat="1" hidden="1">
      <c r="A1960" s="455" t="str">
        <f t="shared" si="60"/>
        <v>T</v>
      </c>
      <c r="B1960" s="455">
        <f>VLOOKUP(LEFT($C$3:$C$2600,3),Table!$D$2:$E$88,2,FALSE)</f>
        <v>0</v>
      </c>
      <c r="C1960" s="455" t="str">
        <f t="shared" si="61"/>
        <v>T</v>
      </c>
      <c r="D1960" s="455" t="e">
        <f>VLOOKUP(G1960,Table!$G$3:$H$21,2,FALSE)</f>
        <v>#N/A</v>
      </c>
      <c r="E1960" s="452"/>
      <c r="F1960" s="452"/>
      <c r="G1960" s="452" t="s">
        <v>844</v>
      </c>
      <c r="H1960" s="452"/>
      <c r="I1960" s="453" t="s">
        <v>844</v>
      </c>
      <c r="J1960" s="453"/>
      <c r="K1960" s="461"/>
      <c r="L1960" s="461"/>
      <c r="M1960" s="461"/>
      <c r="N1960" s="461"/>
      <c r="O1960" s="461"/>
      <c r="P1960" s="461"/>
      <c r="Q1960" s="461"/>
      <c r="R1960" s="461"/>
      <c r="S1960" s="461"/>
      <c r="T1960" s="461"/>
      <c r="U1960" s="461"/>
      <c r="V1960" s="461"/>
    </row>
    <row r="1961" spans="1:22" s="455" customFormat="1" hidden="1">
      <c r="A1961" s="455" t="str">
        <f t="shared" si="60"/>
        <v>T</v>
      </c>
      <c r="B1961" s="455">
        <f>VLOOKUP(LEFT($C$3:$C$2600,3),Table!$D$2:$E$88,2,FALSE)</f>
        <v>0</v>
      </c>
      <c r="C1961" s="455" t="str">
        <f t="shared" si="61"/>
        <v>T</v>
      </c>
      <c r="D1961" s="455" t="e">
        <f>VLOOKUP(G1961,Table!$G$3:$H$21,2,FALSE)</f>
        <v>#N/A</v>
      </c>
      <c r="E1961" s="452"/>
      <c r="F1961" s="452"/>
      <c r="G1961" s="452" t="s">
        <v>844</v>
      </c>
      <c r="H1961" s="452"/>
      <c r="I1961" s="453" t="s">
        <v>844</v>
      </c>
      <c r="J1961" s="453"/>
      <c r="K1961" s="461"/>
      <c r="L1961" s="461"/>
      <c r="M1961" s="461"/>
      <c r="N1961" s="461"/>
      <c r="O1961" s="461"/>
      <c r="P1961" s="461"/>
      <c r="Q1961" s="461"/>
      <c r="R1961" s="461"/>
      <c r="S1961" s="461"/>
      <c r="T1961" s="461"/>
      <c r="U1961" s="461"/>
      <c r="V1961" s="461"/>
    </row>
    <row r="1962" spans="1:22" s="455" customFormat="1" hidden="1">
      <c r="A1962" s="455" t="str">
        <f t="shared" si="60"/>
        <v>T</v>
      </c>
      <c r="B1962" s="455">
        <f>VLOOKUP(LEFT($C$3:$C$2600,3),Table!$D$2:$E$88,2,FALSE)</f>
        <v>0</v>
      </c>
      <c r="C1962" s="455" t="str">
        <f t="shared" si="61"/>
        <v>T</v>
      </c>
      <c r="D1962" s="455" t="e">
        <f>VLOOKUP(G1962,Table!$G$3:$H$21,2,FALSE)</f>
        <v>#N/A</v>
      </c>
      <c r="E1962" s="452"/>
      <c r="F1962" s="452"/>
      <c r="G1962" s="452" t="s">
        <v>844</v>
      </c>
      <c r="H1962" s="452"/>
      <c r="I1962" s="453" t="s">
        <v>844</v>
      </c>
      <c r="J1962" s="453"/>
      <c r="K1962" s="461"/>
      <c r="L1962" s="461"/>
      <c r="M1962" s="461"/>
      <c r="N1962" s="461"/>
      <c r="O1962" s="461"/>
      <c r="P1962" s="461"/>
      <c r="Q1962" s="461"/>
      <c r="R1962" s="461"/>
      <c r="S1962" s="461"/>
      <c r="T1962" s="461"/>
      <c r="U1962" s="461"/>
      <c r="V1962" s="461"/>
    </row>
    <row r="1963" spans="1:22" s="455" customFormat="1" hidden="1">
      <c r="A1963" s="455" t="str">
        <f t="shared" si="60"/>
        <v>T</v>
      </c>
      <c r="B1963" s="455">
        <f>VLOOKUP(LEFT($C$3:$C$2600,3),Table!$D$2:$E$88,2,FALSE)</f>
        <v>0</v>
      </c>
      <c r="C1963" s="455" t="str">
        <f t="shared" si="61"/>
        <v>T</v>
      </c>
      <c r="D1963" s="455" t="e">
        <f>VLOOKUP(G1963,Table!$G$3:$H$21,2,FALSE)</f>
        <v>#N/A</v>
      </c>
      <c r="E1963" s="452"/>
      <c r="F1963" s="452"/>
      <c r="G1963" s="452" t="s">
        <v>844</v>
      </c>
      <c r="H1963" s="452"/>
      <c r="I1963" s="453" t="s">
        <v>844</v>
      </c>
      <c r="J1963" s="453"/>
      <c r="K1963" s="461"/>
      <c r="L1963" s="461"/>
      <c r="M1963" s="461"/>
      <c r="N1963" s="461"/>
      <c r="O1963" s="461"/>
      <c r="P1963" s="461"/>
      <c r="Q1963" s="461"/>
      <c r="R1963" s="461"/>
      <c r="S1963" s="461"/>
      <c r="T1963" s="461"/>
      <c r="U1963" s="461"/>
      <c r="V1963" s="461"/>
    </row>
    <row r="1964" spans="1:22" s="455" customFormat="1" hidden="1">
      <c r="A1964" s="455" t="str">
        <f t="shared" si="60"/>
        <v>T</v>
      </c>
      <c r="B1964" s="455">
        <f>VLOOKUP(LEFT($C$3:$C$2600,3),Table!$D$2:$E$88,2,FALSE)</f>
        <v>0</v>
      </c>
      <c r="C1964" s="455" t="str">
        <f t="shared" si="61"/>
        <v>T</v>
      </c>
      <c r="D1964" s="455" t="e">
        <f>VLOOKUP(G1964,Table!$G$3:$H$21,2,FALSE)</f>
        <v>#N/A</v>
      </c>
      <c r="E1964" s="452"/>
      <c r="F1964" s="452"/>
      <c r="G1964" s="452" t="s">
        <v>844</v>
      </c>
      <c r="H1964" s="452"/>
      <c r="I1964" s="453" t="s">
        <v>844</v>
      </c>
      <c r="J1964" s="453"/>
      <c r="K1964" s="461"/>
      <c r="L1964" s="461"/>
      <c r="M1964" s="461"/>
      <c r="N1964" s="461"/>
      <c r="O1964" s="461"/>
      <c r="P1964" s="461"/>
      <c r="Q1964" s="461"/>
      <c r="R1964" s="461"/>
      <c r="S1964" s="461"/>
      <c r="T1964" s="461"/>
      <c r="U1964" s="461"/>
      <c r="V1964" s="461"/>
    </row>
    <row r="1965" spans="1:22" s="455" customFormat="1" hidden="1">
      <c r="A1965" s="455" t="str">
        <f t="shared" si="60"/>
        <v>T</v>
      </c>
      <c r="B1965" s="455">
        <f>VLOOKUP(LEFT($C$3:$C$2600,3),Table!$D$2:$E$88,2,FALSE)</f>
        <v>0</v>
      </c>
      <c r="C1965" s="455" t="str">
        <f t="shared" si="61"/>
        <v>T</v>
      </c>
      <c r="D1965" s="455" t="e">
        <f>VLOOKUP(G1965,Table!$G$3:$H$21,2,FALSE)</f>
        <v>#N/A</v>
      </c>
      <c r="E1965" s="452"/>
      <c r="F1965" s="452"/>
      <c r="G1965" s="452" t="s">
        <v>844</v>
      </c>
      <c r="H1965" s="452"/>
      <c r="I1965" s="453" t="s">
        <v>844</v>
      </c>
      <c r="J1965" s="453"/>
      <c r="K1965" s="461"/>
      <c r="L1965" s="461"/>
      <c r="M1965" s="461"/>
      <c r="N1965" s="461"/>
      <c r="O1965" s="461"/>
      <c r="P1965" s="461"/>
      <c r="Q1965" s="461"/>
      <c r="R1965" s="461"/>
      <c r="S1965" s="461"/>
      <c r="T1965" s="461"/>
      <c r="U1965" s="461"/>
      <c r="V1965" s="461"/>
    </row>
    <row r="1966" spans="1:22" s="455" customFormat="1" hidden="1">
      <c r="A1966" s="455" t="str">
        <f t="shared" si="60"/>
        <v>T</v>
      </c>
      <c r="B1966" s="455">
        <f>VLOOKUP(LEFT($C$3:$C$2600,3),Table!$D$2:$E$88,2,FALSE)</f>
        <v>0</v>
      </c>
      <c r="C1966" s="455" t="str">
        <f t="shared" si="61"/>
        <v>T</v>
      </c>
      <c r="D1966" s="455" t="e">
        <f>VLOOKUP(G1966,Table!$G$3:$H$21,2,FALSE)</f>
        <v>#N/A</v>
      </c>
      <c r="E1966" s="452"/>
      <c r="F1966" s="452"/>
      <c r="G1966" s="452" t="s">
        <v>844</v>
      </c>
      <c r="H1966" s="452"/>
      <c r="I1966" s="453" t="s">
        <v>844</v>
      </c>
      <c r="J1966" s="453"/>
      <c r="K1966" s="461"/>
      <c r="L1966" s="461"/>
      <c r="M1966" s="461"/>
      <c r="N1966" s="461"/>
      <c r="O1966" s="461"/>
      <c r="P1966" s="461"/>
      <c r="Q1966" s="461"/>
      <c r="R1966" s="461"/>
      <c r="S1966" s="461"/>
      <c r="T1966" s="461"/>
      <c r="U1966" s="461"/>
      <c r="V1966" s="461"/>
    </row>
    <row r="1967" spans="1:22" s="455" customFormat="1" hidden="1">
      <c r="A1967" s="455" t="str">
        <f t="shared" si="60"/>
        <v>T</v>
      </c>
      <c r="B1967" s="455">
        <f>VLOOKUP(LEFT($C$3:$C$2600,3),Table!$D$2:$E$88,2,FALSE)</f>
        <v>0</v>
      </c>
      <c r="C1967" s="455" t="str">
        <f t="shared" si="61"/>
        <v>T</v>
      </c>
      <c r="D1967" s="455" t="e">
        <f>VLOOKUP(G1967,Table!$G$3:$H$21,2,FALSE)</f>
        <v>#N/A</v>
      </c>
      <c r="E1967" s="452"/>
      <c r="F1967" s="452"/>
      <c r="G1967" s="452" t="s">
        <v>844</v>
      </c>
      <c r="H1967" s="452"/>
      <c r="I1967" s="453" t="s">
        <v>844</v>
      </c>
      <c r="J1967" s="453"/>
      <c r="K1967" s="461"/>
      <c r="L1967" s="461"/>
      <c r="M1967" s="461"/>
      <c r="N1967" s="461"/>
      <c r="O1967" s="461"/>
      <c r="P1967" s="461"/>
      <c r="Q1967" s="461"/>
      <c r="R1967" s="461"/>
      <c r="S1967" s="461"/>
      <c r="T1967" s="461"/>
      <c r="U1967" s="461"/>
      <c r="V1967" s="461"/>
    </row>
    <row r="1968" spans="1:22" s="455" customFormat="1" hidden="1">
      <c r="A1968" s="455" t="str">
        <f t="shared" si="60"/>
        <v>T</v>
      </c>
      <c r="B1968" s="455">
        <f>VLOOKUP(LEFT($C$3:$C$2600,3),Table!$D$2:$E$88,2,FALSE)</f>
        <v>0</v>
      </c>
      <c r="C1968" s="455" t="str">
        <f t="shared" si="61"/>
        <v>T</v>
      </c>
      <c r="D1968" s="455" t="e">
        <f>VLOOKUP(G1968,Table!$G$3:$H$21,2,FALSE)</f>
        <v>#N/A</v>
      </c>
      <c r="E1968" s="452"/>
      <c r="F1968" s="452"/>
      <c r="G1968" s="452" t="s">
        <v>844</v>
      </c>
      <c r="H1968" s="452"/>
      <c r="I1968" s="453" t="s">
        <v>844</v>
      </c>
      <c r="J1968" s="453"/>
      <c r="K1968" s="461"/>
      <c r="L1968" s="461"/>
      <c r="M1968" s="461"/>
      <c r="N1968" s="461"/>
      <c r="O1968" s="461"/>
      <c r="P1968" s="461"/>
      <c r="Q1968" s="461"/>
      <c r="R1968" s="461"/>
      <c r="S1968" s="461"/>
      <c r="T1968" s="461"/>
      <c r="U1968" s="461"/>
      <c r="V1968" s="461"/>
    </row>
    <row r="1969" spans="1:22" s="455" customFormat="1" hidden="1">
      <c r="A1969" s="455" t="str">
        <f t="shared" si="60"/>
        <v>T</v>
      </c>
      <c r="B1969" s="455">
        <f>VLOOKUP(LEFT($C$3:$C$2600,3),Table!$D$2:$E$88,2,FALSE)</f>
        <v>0</v>
      </c>
      <c r="C1969" s="455" t="str">
        <f t="shared" si="61"/>
        <v>T</v>
      </c>
      <c r="D1969" s="455" t="e">
        <f>VLOOKUP(G1969,Table!$G$3:$H$21,2,FALSE)</f>
        <v>#N/A</v>
      </c>
      <c r="E1969" s="452"/>
      <c r="F1969" s="452"/>
      <c r="G1969" s="452" t="s">
        <v>844</v>
      </c>
      <c r="H1969" s="452"/>
      <c r="I1969" s="453" t="s">
        <v>844</v>
      </c>
      <c r="J1969" s="453"/>
      <c r="K1969" s="461"/>
      <c r="L1969" s="461"/>
      <c r="M1969" s="461"/>
      <c r="N1969" s="461"/>
      <c r="O1969" s="461"/>
      <c r="P1969" s="461"/>
      <c r="Q1969" s="461"/>
      <c r="R1969" s="461"/>
      <c r="S1969" s="461"/>
      <c r="T1969" s="461"/>
      <c r="U1969" s="461"/>
      <c r="V1969" s="461"/>
    </row>
    <row r="1970" spans="1:22" s="455" customFormat="1" hidden="1">
      <c r="A1970" s="455" t="str">
        <f t="shared" si="60"/>
        <v>T</v>
      </c>
      <c r="B1970" s="455">
        <f>VLOOKUP(LEFT($C$3:$C$2600,3),Table!$D$2:$E$88,2,FALSE)</f>
        <v>0</v>
      </c>
      <c r="C1970" s="455" t="str">
        <f t="shared" si="61"/>
        <v>T</v>
      </c>
      <c r="D1970" s="455" t="e">
        <f>VLOOKUP(G1970,Table!$G$3:$H$21,2,FALSE)</f>
        <v>#N/A</v>
      </c>
      <c r="E1970" s="452"/>
      <c r="F1970" s="452"/>
      <c r="G1970" s="452" t="s">
        <v>844</v>
      </c>
      <c r="H1970" s="452"/>
      <c r="I1970" s="453" t="s">
        <v>844</v>
      </c>
      <c r="J1970" s="453"/>
      <c r="K1970" s="461"/>
      <c r="L1970" s="461"/>
      <c r="M1970" s="461"/>
      <c r="N1970" s="461"/>
      <c r="O1970" s="461"/>
      <c r="P1970" s="461"/>
      <c r="Q1970" s="461"/>
      <c r="R1970" s="461"/>
      <c r="S1970" s="461"/>
      <c r="T1970" s="461"/>
      <c r="U1970" s="461"/>
      <c r="V1970" s="461"/>
    </row>
    <row r="1971" spans="1:22" s="455" customFormat="1" hidden="1">
      <c r="A1971" s="455" t="str">
        <f t="shared" si="60"/>
        <v>T</v>
      </c>
      <c r="B1971" s="455">
        <f>VLOOKUP(LEFT($C$3:$C$2600,3),Table!$D$2:$E$88,2,FALSE)</f>
        <v>0</v>
      </c>
      <c r="C1971" s="455" t="str">
        <f t="shared" si="61"/>
        <v>T</v>
      </c>
      <c r="D1971" s="455" t="e">
        <f>VLOOKUP(G1971,Table!$G$3:$H$21,2,FALSE)</f>
        <v>#N/A</v>
      </c>
      <c r="E1971" s="452"/>
      <c r="F1971" s="452"/>
      <c r="G1971" s="452" t="s">
        <v>844</v>
      </c>
      <c r="H1971" s="452"/>
      <c r="I1971" s="453" t="s">
        <v>844</v>
      </c>
      <c r="J1971" s="453"/>
      <c r="K1971" s="461"/>
      <c r="L1971" s="461"/>
      <c r="M1971" s="461"/>
      <c r="N1971" s="461"/>
      <c r="O1971" s="461"/>
      <c r="P1971" s="461"/>
      <c r="Q1971" s="461"/>
      <c r="R1971" s="461"/>
      <c r="S1971" s="461"/>
      <c r="T1971" s="461"/>
      <c r="U1971" s="461"/>
      <c r="V1971" s="461"/>
    </row>
    <row r="1972" spans="1:22" s="455" customFormat="1" hidden="1">
      <c r="A1972" s="455" t="str">
        <f t="shared" si="60"/>
        <v>T</v>
      </c>
      <c r="B1972" s="455">
        <f>VLOOKUP(LEFT($C$3:$C$2600,3),Table!$D$2:$E$88,2,FALSE)</f>
        <v>0</v>
      </c>
      <c r="C1972" s="455" t="str">
        <f t="shared" si="61"/>
        <v>T</v>
      </c>
      <c r="D1972" s="455" t="e">
        <f>VLOOKUP(G1972,Table!$G$3:$H$21,2,FALSE)</f>
        <v>#N/A</v>
      </c>
      <c r="E1972" s="452"/>
      <c r="F1972" s="452"/>
      <c r="G1972" s="452" t="s">
        <v>844</v>
      </c>
      <c r="H1972" s="452"/>
      <c r="I1972" s="453" t="s">
        <v>844</v>
      </c>
      <c r="J1972" s="453"/>
      <c r="K1972" s="461"/>
      <c r="L1972" s="461"/>
      <c r="M1972" s="461"/>
      <c r="N1972" s="461"/>
      <c r="O1972" s="461"/>
      <c r="P1972" s="461"/>
      <c r="Q1972" s="461"/>
      <c r="R1972" s="461"/>
      <c r="S1972" s="461"/>
      <c r="T1972" s="461"/>
      <c r="U1972" s="461"/>
      <c r="V1972" s="461"/>
    </row>
    <row r="1973" spans="1:22" s="455" customFormat="1" hidden="1">
      <c r="A1973" s="455" t="str">
        <f t="shared" si="60"/>
        <v>T</v>
      </c>
      <c r="B1973" s="455">
        <f>VLOOKUP(LEFT($C$3:$C$2600,3),Table!$D$2:$E$88,2,FALSE)</f>
        <v>0</v>
      </c>
      <c r="C1973" s="455" t="str">
        <f t="shared" si="61"/>
        <v>T</v>
      </c>
      <c r="D1973" s="455" t="e">
        <f>VLOOKUP(G1973,Table!$G$3:$H$21,2,FALSE)</f>
        <v>#N/A</v>
      </c>
      <c r="E1973" s="452"/>
      <c r="F1973" s="452"/>
      <c r="G1973" s="452" t="s">
        <v>844</v>
      </c>
      <c r="H1973" s="452"/>
      <c r="I1973" s="453" t="s">
        <v>844</v>
      </c>
      <c r="J1973" s="453"/>
      <c r="K1973" s="461"/>
      <c r="L1973" s="461"/>
      <c r="M1973" s="461"/>
      <c r="N1973" s="461"/>
      <c r="O1973" s="461"/>
      <c r="P1973" s="461"/>
      <c r="Q1973" s="461"/>
      <c r="R1973" s="461"/>
      <c r="S1973" s="461"/>
      <c r="T1973" s="461"/>
      <c r="U1973" s="461"/>
      <c r="V1973" s="461"/>
    </row>
    <row r="1974" spans="1:22" s="455" customFormat="1" hidden="1">
      <c r="A1974" s="455" t="str">
        <f t="shared" si="60"/>
        <v>T</v>
      </c>
      <c r="B1974" s="455">
        <f>VLOOKUP(LEFT($C$3:$C$2600,3),Table!$D$2:$E$88,2,FALSE)</f>
        <v>0</v>
      </c>
      <c r="C1974" s="455" t="str">
        <f t="shared" si="61"/>
        <v>T</v>
      </c>
      <c r="D1974" s="455" t="e">
        <f>VLOOKUP(G1974,Table!$G$3:$H$21,2,FALSE)</f>
        <v>#N/A</v>
      </c>
      <c r="E1974" s="452"/>
      <c r="F1974" s="452"/>
      <c r="G1974" s="452" t="s">
        <v>844</v>
      </c>
      <c r="H1974" s="452"/>
      <c r="I1974" s="453" t="s">
        <v>844</v>
      </c>
      <c r="J1974" s="453"/>
      <c r="K1974" s="461"/>
      <c r="L1974" s="461"/>
      <c r="M1974" s="461"/>
      <c r="N1974" s="461"/>
      <c r="O1974" s="461"/>
      <c r="P1974" s="461"/>
      <c r="Q1974" s="461"/>
      <c r="R1974" s="461"/>
      <c r="S1974" s="461"/>
      <c r="T1974" s="461"/>
      <c r="U1974" s="461"/>
      <c r="V1974" s="461"/>
    </row>
    <row r="1975" spans="1:22" s="455" customFormat="1" hidden="1">
      <c r="A1975" s="455" t="str">
        <f t="shared" si="60"/>
        <v>T</v>
      </c>
      <c r="B1975" s="455">
        <f>VLOOKUP(LEFT($C$3:$C$2600,3),Table!$D$2:$E$88,2,FALSE)</f>
        <v>0</v>
      </c>
      <c r="C1975" s="455" t="str">
        <f t="shared" si="61"/>
        <v>T</v>
      </c>
      <c r="D1975" s="455" t="e">
        <f>VLOOKUP(G1975,Table!$G$3:$H$21,2,FALSE)</f>
        <v>#N/A</v>
      </c>
      <c r="E1975" s="452"/>
      <c r="F1975" s="452"/>
      <c r="G1975" s="452" t="s">
        <v>844</v>
      </c>
      <c r="H1975" s="452"/>
      <c r="I1975" s="453" t="s">
        <v>844</v>
      </c>
      <c r="J1975" s="453"/>
      <c r="K1975" s="461"/>
      <c r="L1975" s="461"/>
      <c r="M1975" s="461"/>
      <c r="N1975" s="461"/>
      <c r="O1975" s="461"/>
      <c r="P1975" s="461"/>
      <c r="Q1975" s="461"/>
      <c r="R1975" s="461"/>
      <c r="S1975" s="461"/>
      <c r="T1975" s="461"/>
      <c r="U1975" s="461"/>
      <c r="V1975" s="461"/>
    </row>
    <row r="1976" spans="1:22" s="455" customFormat="1" hidden="1">
      <c r="A1976" s="455" t="str">
        <f t="shared" si="60"/>
        <v>T</v>
      </c>
      <c r="B1976" s="455">
        <f>VLOOKUP(LEFT($C$3:$C$2600,3),Table!$D$2:$E$88,2,FALSE)</f>
        <v>0</v>
      </c>
      <c r="C1976" s="455" t="str">
        <f t="shared" si="61"/>
        <v>T</v>
      </c>
      <c r="D1976" s="455" t="e">
        <f>VLOOKUP(G1976,Table!$G$3:$H$21,2,FALSE)</f>
        <v>#N/A</v>
      </c>
      <c r="E1976" s="452"/>
      <c r="F1976" s="452"/>
      <c r="G1976" s="452" t="s">
        <v>844</v>
      </c>
      <c r="H1976" s="452"/>
      <c r="I1976" s="453" t="s">
        <v>844</v>
      </c>
      <c r="J1976" s="453"/>
      <c r="K1976" s="461"/>
      <c r="L1976" s="461"/>
      <c r="M1976" s="461"/>
      <c r="N1976" s="461"/>
      <c r="O1976" s="461"/>
      <c r="P1976" s="461"/>
      <c r="Q1976" s="461"/>
      <c r="R1976" s="461"/>
      <c r="S1976" s="461"/>
      <c r="T1976" s="461"/>
      <c r="U1976" s="461"/>
      <c r="V1976" s="461"/>
    </row>
    <row r="1977" spans="1:22" s="455" customFormat="1" hidden="1">
      <c r="A1977" s="455" t="str">
        <f t="shared" si="60"/>
        <v>T</v>
      </c>
      <c r="B1977" s="455">
        <f>VLOOKUP(LEFT($C$3:$C$2600,3),Table!$D$2:$E$88,2,FALSE)</f>
        <v>0</v>
      </c>
      <c r="C1977" s="455" t="str">
        <f t="shared" si="61"/>
        <v>T</v>
      </c>
      <c r="D1977" s="455" t="e">
        <f>VLOOKUP(G1977,Table!$G$3:$H$21,2,FALSE)</f>
        <v>#N/A</v>
      </c>
      <c r="E1977" s="452"/>
      <c r="F1977" s="452"/>
      <c r="G1977" s="452" t="s">
        <v>844</v>
      </c>
      <c r="H1977" s="452"/>
      <c r="I1977" s="453" t="s">
        <v>844</v>
      </c>
      <c r="J1977" s="453"/>
      <c r="K1977" s="461"/>
      <c r="L1977" s="461"/>
      <c r="M1977" s="461"/>
      <c r="N1977" s="461"/>
      <c r="O1977" s="461"/>
      <c r="P1977" s="461"/>
      <c r="Q1977" s="461"/>
      <c r="R1977" s="461"/>
      <c r="S1977" s="461"/>
      <c r="T1977" s="461"/>
      <c r="U1977" s="461"/>
      <c r="V1977" s="461"/>
    </row>
    <row r="1978" spans="1:22" s="455" customFormat="1" hidden="1">
      <c r="A1978" s="455" t="str">
        <f t="shared" si="60"/>
        <v>T</v>
      </c>
      <c r="B1978" s="455">
        <f>VLOOKUP(LEFT($C$3:$C$2600,3),Table!$D$2:$E$88,2,FALSE)</f>
        <v>0</v>
      </c>
      <c r="C1978" s="455" t="str">
        <f t="shared" si="61"/>
        <v>T</v>
      </c>
      <c r="D1978" s="455" t="e">
        <f>VLOOKUP(G1978,Table!$G$3:$H$21,2,FALSE)</f>
        <v>#N/A</v>
      </c>
      <c r="E1978" s="452"/>
      <c r="F1978" s="452"/>
      <c r="G1978" s="452" t="s">
        <v>844</v>
      </c>
      <c r="H1978" s="452"/>
      <c r="I1978" s="453" t="s">
        <v>844</v>
      </c>
      <c r="J1978" s="453"/>
      <c r="K1978" s="461"/>
      <c r="L1978" s="461"/>
      <c r="M1978" s="461"/>
      <c r="N1978" s="461"/>
      <c r="O1978" s="461"/>
      <c r="P1978" s="461"/>
      <c r="Q1978" s="461"/>
      <c r="R1978" s="461"/>
      <c r="S1978" s="461"/>
      <c r="T1978" s="461"/>
      <c r="U1978" s="461"/>
      <c r="V1978" s="461"/>
    </row>
    <row r="1979" spans="1:22" s="455" customFormat="1" hidden="1">
      <c r="A1979" s="455" t="str">
        <f t="shared" si="60"/>
        <v>T</v>
      </c>
      <c r="B1979" s="455">
        <f>VLOOKUP(LEFT($C$3:$C$2600,3),Table!$D$2:$E$88,2,FALSE)</f>
        <v>0</v>
      </c>
      <c r="C1979" s="455" t="str">
        <f t="shared" si="61"/>
        <v>T</v>
      </c>
      <c r="D1979" s="455" t="e">
        <f>VLOOKUP(G1979,Table!$G$3:$H$21,2,FALSE)</f>
        <v>#N/A</v>
      </c>
      <c r="E1979" s="452"/>
      <c r="F1979" s="452"/>
      <c r="G1979" s="452" t="s">
        <v>844</v>
      </c>
      <c r="H1979" s="452"/>
      <c r="I1979" s="453" t="s">
        <v>844</v>
      </c>
      <c r="J1979" s="453"/>
      <c r="K1979" s="461"/>
      <c r="L1979" s="461"/>
      <c r="M1979" s="461"/>
      <c r="N1979" s="461"/>
      <c r="O1979" s="461"/>
      <c r="P1979" s="461"/>
      <c r="Q1979" s="461"/>
      <c r="R1979" s="461"/>
      <c r="S1979" s="461"/>
      <c r="T1979" s="461"/>
      <c r="U1979" s="461"/>
      <c r="V1979" s="461"/>
    </row>
    <row r="1980" spans="1:22" s="455" customFormat="1" hidden="1">
      <c r="A1980" s="455" t="str">
        <f t="shared" si="60"/>
        <v>T</v>
      </c>
      <c r="B1980" s="455">
        <f>VLOOKUP(LEFT($C$3:$C$2600,3),Table!$D$2:$E$88,2,FALSE)</f>
        <v>0</v>
      </c>
      <c r="C1980" s="455" t="str">
        <f t="shared" si="61"/>
        <v>T</v>
      </c>
      <c r="D1980" s="455" t="e">
        <f>VLOOKUP(G1980,Table!$G$3:$H$21,2,FALSE)</f>
        <v>#N/A</v>
      </c>
      <c r="E1980" s="452"/>
      <c r="F1980" s="452"/>
      <c r="G1980" s="452" t="s">
        <v>844</v>
      </c>
      <c r="H1980" s="452"/>
      <c r="I1980" s="453" t="s">
        <v>844</v>
      </c>
      <c r="J1980" s="453"/>
      <c r="K1980" s="461"/>
      <c r="L1980" s="461"/>
      <c r="M1980" s="461"/>
      <c r="N1980" s="461"/>
      <c r="O1980" s="461"/>
      <c r="P1980" s="461"/>
      <c r="Q1980" s="461"/>
      <c r="R1980" s="461"/>
      <c r="S1980" s="461"/>
      <c r="T1980" s="461"/>
      <c r="U1980" s="461"/>
      <c r="V1980" s="461"/>
    </row>
    <row r="1981" spans="1:22" s="455" customFormat="1" hidden="1">
      <c r="A1981" s="455" t="str">
        <f t="shared" si="60"/>
        <v>T</v>
      </c>
      <c r="B1981" s="455">
        <f>VLOOKUP(LEFT($C$3:$C$2600,3),Table!$D$2:$E$88,2,FALSE)</f>
        <v>0</v>
      </c>
      <c r="C1981" s="455" t="str">
        <f t="shared" si="61"/>
        <v>T</v>
      </c>
      <c r="D1981" s="455" t="e">
        <f>VLOOKUP(G1981,Table!$G$3:$H$21,2,FALSE)</f>
        <v>#N/A</v>
      </c>
      <c r="E1981" s="452"/>
      <c r="F1981" s="452"/>
      <c r="G1981" s="452" t="s">
        <v>844</v>
      </c>
      <c r="H1981" s="452"/>
      <c r="I1981" s="453" t="s">
        <v>844</v>
      </c>
      <c r="J1981" s="453"/>
      <c r="K1981" s="461"/>
      <c r="L1981" s="461"/>
      <c r="M1981" s="461"/>
      <c r="N1981" s="461"/>
      <c r="O1981" s="461"/>
      <c r="P1981" s="461"/>
      <c r="Q1981" s="461"/>
      <c r="R1981" s="461"/>
      <c r="S1981" s="461"/>
      <c r="T1981" s="461"/>
      <c r="U1981" s="461"/>
      <c r="V1981" s="461"/>
    </row>
    <row r="1982" spans="1:22" s="455" customFormat="1" hidden="1">
      <c r="A1982" s="455" t="str">
        <f t="shared" si="60"/>
        <v>T</v>
      </c>
      <c r="B1982" s="455">
        <f>VLOOKUP(LEFT($C$3:$C$2600,3),Table!$D$2:$E$88,2,FALSE)</f>
        <v>0</v>
      </c>
      <c r="C1982" s="455" t="str">
        <f t="shared" si="61"/>
        <v>T</v>
      </c>
      <c r="D1982" s="455" t="e">
        <f>VLOOKUP(G1982,Table!$G$3:$H$21,2,FALSE)</f>
        <v>#N/A</v>
      </c>
      <c r="E1982" s="452"/>
      <c r="F1982" s="452"/>
      <c r="G1982" s="452" t="s">
        <v>844</v>
      </c>
      <c r="H1982" s="452"/>
      <c r="I1982" s="453" t="s">
        <v>844</v>
      </c>
      <c r="J1982" s="453"/>
      <c r="K1982" s="461"/>
      <c r="L1982" s="461"/>
      <c r="M1982" s="461"/>
      <c r="N1982" s="461"/>
      <c r="O1982" s="461"/>
      <c r="P1982" s="461"/>
      <c r="Q1982" s="461"/>
      <c r="R1982" s="461"/>
      <c r="S1982" s="461"/>
      <c r="T1982" s="461"/>
      <c r="U1982" s="461"/>
      <c r="V1982" s="461"/>
    </row>
    <row r="1983" spans="1:22" s="455" customFormat="1" hidden="1">
      <c r="A1983" s="455" t="str">
        <f t="shared" si="60"/>
        <v>T</v>
      </c>
      <c r="B1983" s="455">
        <f>VLOOKUP(LEFT($C$3:$C$2600,3),Table!$D$2:$E$88,2,FALSE)</f>
        <v>0</v>
      </c>
      <c r="C1983" s="455" t="str">
        <f t="shared" si="61"/>
        <v>T</v>
      </c>
      <c r="D1983" s="455" t="e">
        <f>VLOOKUP(G1983,Table!$G$3:$H$21,2,FALSE)</f>
        <v>#N/A</v>
      </c>
      <c r="E1983" s="452"/>
      <c r="F1983" s="452"/>
      <c r="G1983" s="452" t="s">
        <v>844</v>
      </c>
      <c r="H1983" s="452"/>
      <c r="I1983" s="453" t="s">
        <v>844</v>
      </c>
      <c r="J1983" s="453"/>
      <c r="K1983" s="461"/>
      <c r="L1983" s="461"/>
      <c r="M1983" s="461"/>
      <c r="N1983" s="461"/>
      <c r="O1983" s="461"/>
      <c r="P1983" s="461"/>
      <c r="Q1983" s="461"/>
      <c r="R1983" s="461"/>
      <c r="S1983" s="461"/>
      <c r="T1983" s="461"/>
      <c r="U1983" s="461"/>
      <c r="V1983" s="461"/>
    </row>
    <row r="1984" spans="1:22" s="455" customFormat="1" hidden="1">
      <c r="A1984" s="455" t="str">
        <f t="shared" si="60"/>
        <v>T</v>
      </c>
      <c r="B1984" s="455">
        <f>VLOOKUP(LEFT($C$3:$C$2600,3),Table!$D$2:$E$88,2,FALSE)</f>
        <v>0</v>
      </c>
      <c r="C1984" s="455" t="str">
        <f t="shared" si="61"/>
        <v>T</v>
      </c>
      <c r="D1984" s="455" t="e">
        <f>VLOOKUP(G1984,Table!$G$3:$H$21,2,FALSE)</f>
        <v>#N/A</v>
      </c>
      <c r="E1984" s="452"/>
      <c r="F1984" s="452"/>
      <c r="G1984" s="452" t="s">
        <v>844</v>
      </c>
      <c r="H1984" s="452"/>
      <c r="I1984" s="453" t="s">
        <v>844</v>
      </c>
      <c r="J1984" s="453"/>
      <c r="K1984" s="461"/>
      <c r="L1984" s="461"/>
      <c r="M1984" s="461"/>
      <c r="N1984" s="461"/>
      <c r="O1984" s="461"/>
      <c r="P1984" s="461"/>
      <c r="Q1984" s="461"/>
      <c r="R1984" s="461"/>
      <c r="S1984" s="461"/>
      <c r="T1984" s="461"/>
      <c r="U1984" s="461"/>
      <c r="V1984" s="461"/>
    </row>
    <row r="1985" spans="1:22" s="455" customFormat="1" hidden="1">
      <c r="A1985" s="455" t="str">
        <f t="shared" si="60"/>
        <v>T</v>
      </c>
      <c r="B1985" s="455">
        <f>VLOOKUP(LEFT($C$3:$C$2600,3),Table!$D$2:$E$88,2,FALSE)</f>
        <v>0</v>
      </c>
      <c r="C1985" s="455" t="str">
        <f t="shared" si="61"/>
        <v>T</v>
      </c>
      <c r="D1985" s="455" t="e">
        <f>VLOOKUP(G1985,Table!$G$3:$H$21,2,FALSE)</f>
        <v>#N/A</v>
      </c>
      <c r="E1985" s="452"/>
      <c r="F1985" s="452"/>
      <c r="G1985" s="452" t="s">
        <v>844</v>
      </c>
      <c r="H1985" s="452"/>
      <c r="I1985" s="453" t="s">
        <v>844</v>
      </c>
      <c r="J1985" s="453"/>
      <c r="K1985" s="461"/>
      <c r="L1985" s="461"/>
      <c r="M1985" s="461"/>
      <c r="N1985" s="461"/>
      <c r="O1985" s="461"/>
      <c r="P1985" s="461"/>
      <c r="Q1985" s="461"/>
      <c r="R1985" s="461"/>
      <c r="S1985" s="461"/>
      <c r="T1985" s="461"/>
      <c r="U1985" s="461"/>
      <c r="V1985" s="461"/>
    </row>
    <row r="1986" spans="1:22" s="455" customFormat="1" hidden="1">
      <c r="A1986" s="455" t="str">
        <f t="shared" si="60"/>
        <v>T</v>
      </c>
      <c r="B1986" s="455">
        <f>VLOOKUP(LEFT($C$3:$C$2600,3),Table!$D$2:$E$88,2,FALSE)</f>
        <v>0</v>
      </c>
      <c r="C1986" s="455" t="str">
        <f t="shared" si="61"/>
        <v>T</v>
      </c>
      <c r="D1986" s="455" t="e">
        <f>VLOOKUP(G1986,Table!$G$3:$H$21,2,FALSE)</f>
        <v>#N/A</v>
      </c>
      <c r="E1986" s="452"/>
      <c r="F1986" s="452"/>
      <c r="G1986" s="452" t="s">
        <v>844</v>
      </c>
      <c r="H1986" s="452"/>
      <c r="I1986" s="453" t="s">
        <v>844</v>
      </c>
      <c r="J1986" s="453"/>
      <c r="K1986" s="461"/>
      <c r="L1986" s="461"/>
      <c r="M1986" s="461"/>
      <c r="N1986" s="461"/>
      <c r="O1986" s="461"/>
      <c r="P1986" s="461"/>
      <c r="Q1986" s="461"/>
      <c r="R1986" s="461"/>
      <c r="S1986" s="461"/>
      <c r="T1986" s="461"/>
      <c r="U1986" s="461"/>
      <c r="V1986" s="461"/>
    </row>
    <row r="1987" spans="1:22" s="455" customFormat="1" hidden="1">
      <c r="A1987" s="455" t="str">
        <f t="shared" si="60"/>
        <v>T</v>
      </c>
      <c r="B1987" s="455">
        <f>VLOOKUP(LEFT($C$3:$C$2600,3),Table!$D$2:$E$88,2,FALSE)</f>
        <v>0</v>
      </c>
      <c r="C1987" s="455" t="str">
        <f t="shared" si="61"/>
        <v>T</v>
      </c>
      <c r="D1987" s="455" t="e">
        <f>VLOOKUP(G1987,Table!$G$3:$H$21,2,FALSE)</f>
        <v>#N/A</v>
      </c>
      <c r="E1987" s="452"/>
      <c r="F1987" s="452"/>
      <c r="G1987" s="452" t="s">
        <v>844</v>
      </c>
      <c r="H1987" s="452"/>
      <c r="I1987" s="453" t="s">
        <v>844</v>
      </c>
      <c r="J1987" s="453"/>
      <c r="K1987" s="461"/>
      <c r="L1987" s="461"/>
      <c r="M1987" s="461"/>
      <c r="N1987" s="461"/>
      <c r="O1987" s="461"/>
      <c r="P1987" s="461"/>
      <c r="Q1987" s="461"/>
      <c r="R1987" s="461"/>
      <c r="S1987" s="461"/>
      <c r="T1987" s="461"/>
      <c r="U1987" s="461"/>
      <c r="V1987" s="461"/>
    </row>
    <row r="1988" spans="1:22" s="455" customFormat="1" hidden="1">
      <c r="A1988" s="455" t="str">
        <f t="shared" ref="A1988:A2051" si="62">F1988&amp;G1988</f>
        <v>T</v>
      </c>
      <c r="B1988" s="455">
        <f>VLOOKUP(LEFT($C$3:$C$2600,3),Table!$D$2:$E$88,2,FALSE)</f>
        <v>0</v>
      </c>
      <c r="C1988" s="455" t="str">
        <f t="shared" ref="C1988:C2051" si="63">IF(ISNA(D1988),G1988,D1988)</f>
        <v>T</v>
      </c>
      <c r="D1988" s="455" t="e">
        <f>VLOOKUP(G1988,Table!$G$3:$H$21,2,FALSE)</f>
        <v>#N/A</v>
      </c>
      <c r="E1988" s="452"/>
      <c r="F1988" s="452"/>
      <c r="G1988" s="452" t="s">
        <v>844</v>
      </c>
      <c r="H1988" s="452"/>
      <c r="I1988" s="453" t="s">
        <v>844</v>
      </c>
      <c r="J1988" s="453"/>
      <c r="K1988" s="461"/>
      <c r="L1988" s="461"/>
      <c r="M1988" s="461"/>
      <c r="N1988" s="461"/>
      <c r="O1988" s="461"/>
      <c r="P1988" s="461"/>
      <c r="Q1988" s="461"/>
      <c r="R1988" s="461"/>
      <c r="S1988" s="461"/>
      <c r="T1988" s="461"/>
      <c r="U1988" s="461"/>
      <c r="V1988" s="461"/>
    </row>
    <row r="1989" spans="1:22" s="455" customFormat="1" hidden="1">
      <c r="A1989" s="455" t="str">
        <f t="shared" si="62"/>
        <v>T</v>
      </c>
      <c r="B1989" s="455">
        <f>VLOOKUP(LEFT($C$3:$C$2600,3),Table!$D$2:$E$88,2,FALSE)</f>
        <v>0</v>
      </c>
      <c r="C1989" s="455" t="str">
        <f t="shared" si="63"/>
        <v>T</v>
      </c>
      <c r="D1989" s="455" t="e">
        <f>VLOOKUP(G1989,Table!$G$3:$H$21,2,FALSE)</f>
        <v>#N/A</v>
      </c>
      <c r="E1989" s="452"/>
      <c r="F1989" s="452"/>
      <c r="G1989" s="452" t="s">
        <v>844</v>
      </c>
      <c r="H1989" s="452"/>
      <c r="I1989" s="453" t="s">
        <v>844</v>
      </c>
      <c r="J1989" s="453"/>
      <c r="K1989" s="461"/>
      <c r="L1989" s="461"/>
      <c r="M1989" s="461"/>
      <c r="N1989" s="461"/>
      <c r="O1989" s="461"/>
      <c r="P1989" s="461"/>
      <c r="Q1989" s="461"/>
      <c r="R1989" s="461"/>
      <c r="S1989" s="461"/>
      <c r="T1989" s="461"/>
      <c r="U1989" s="461"/>
      <c r="V1989" s="461"/>
    </row>
    <row r="1990" spans="1:22" s="455" customFormat="1" hidden="1">
      <c r="A1990" s="455" t="str">
        <f t="shared" si="62"/>
        <v>T</v>
      </c>
      <c r="B1990" s="455">
        <f>VLOOKUP(LEFT($C$3:$C$2600,3),Table!$D$2:$E$88,2,FALSE)</f>
        <v>0</v>
      </c>
      <c r="C1990" s="455" t="str">
        <f t="shared" si="63"/>
        <v>T</v>
      </c>
      <c r="D1990" s="455" t="e">
        <f>VLOOKUP(G1990,Table!$G$3:$H$21,2,FALSE)</f>
        <v>#N/A</v>
      </c>
      <c r="E1990" s="452"/>
      <c r="F1990" s="452"/>
      <c r="G1990" s="452" t="s">
        <v>844</v>
      </c>
      <c r="H1990" s="452"/>
      <c r="I1990" s="453" t="s">
        <v>844</v>
      </c>
      <c r="J1990" s="453"/>
      <c r="K1990" s="461"/>
      <c r="L1990" s="461"/>
      <c r="M1990" s="461"/>
      <c r="N1990" s="461"/>
      <c r="O1990" s="461"/>
      <c r="P1990" s="461"/>
      <c r="Q1990" s="461"/>
      <c r="R1990" s="461"/>
      <c r="S1990" s="461"/>
      <c r="T1990" s="461"/>
      <c r="U1990" s="461"/>
      <c r="V1990" s="461"/>
    </row>
    <row r="1991" spans="1:22" s="455" customFormat="1" hidden="1">
      <c r="A1991" s="455" t="str">
        <f t="shared" si="62"/>
        <v>T</v>
      </c>
      <c r="B1991" s="455">
        <f>VLOOKUP(LEFT($C$3:$C$2600,3),Table!$D$2:$E$88,2,FALSE)</f>
        <v>0</v>
      </c>
      <c r="C1991" s="455" t="str">
        <f t="shared" si="63"/>
        <v>T</v>
      </c>
      <c r="D1991" s="455" t="e">
        <f>VLOOKUP(G1991,Table!$G$3:$H$21,2,FALSE)</f>
        <v>#N/A</v>
      </c>
      <c r="E1991" s="452"/>
      <c r="F1991" s="452"/>
      <c r="G1991" s="452" t="s">
        <v>844</v>
      </c>
      <c r="H1991" s="452"/>
      <c r="I1991" s="453" t="s">
        <v>844</v>
      </c>
      <c r="J1991" s="453"/>
      <c r="K1991" s="461"/>
      <c r="L1991" s="461"/>
      <c r="M1991" s="461"/>
      <c r="N1991" s="461"/>
      <c r="O1991" s="461"/>
      <c r="P1991" s="461"/>
      <c r="Q1991" s="461"/>
      <c r="R1991" s="461"/>
      <c r="S1991" s="461"/>
      <c r="T1991" s="461"/>
      <c r="U1991" s="461"/>
      <c r="V1991" s="461"/>
    </row>
    <row r="1992" spans="1:22" s="455" customFormat="1" hidden="1">
      <c r="A1992" s="455" t="str">
        <f t="shared" si="62"/>
        <v>T</v>
      </c>
      <c r="B1992" s="455">
        <f>VLOOKUP(LEFT($C$3:$C$2600,3),Table!$D$2:$E$88,2,FALSE)</f>
        <v>0</v>
      </c>
      <c r="C1992" s="455" t="str">
        <f t="shared" si="63"/>
        <v>T</v>
      </c>
      <c r="D1992" s="455" t="e">
        <f>VLOOKUP(G1992,Table!$G$3:$H$21,2,FALSE)</f>
        <v>#N/A</v>
      </c>
      <c r="E1992" s="452"/>
      <c r="F1992" s="452"/>
      <c r="G1992" s="452" t="s">
        <v>844</v>
      </c>
      <c r="H1992" s="452"/>
      <c r="I1992" s="453" t="s">
        <v>844</v>
      </c>
      <c r="J1992" s="453"/>
      <c r="K1992" s="461"/>
      <c r="L1992" s="461"/>
      <c r="M1992" s="461"/>
      <c r="N1992" s="461"/>
      <c r="O1992" s="461"/>
      <c r="P1992" s="461"/>
      <c r="Q1992" s="461"/>
      <c r="R1992" s="461"/>
      <c r="S1992" s="461"/>
      <c r="T1992" s="461"/>
      <c r="U1992" s="461"/>
      <c r="V1992" s="461"/>
    </row>
    <row r="1993" spans="1:22" s="455" customFormat="1" hidden="1">
      <c r="A1993" s="455" t="str">
        <f t="shared" si="62"/>
        <v>T</v>
      </c>
      <c r="B1993" s="455">
        <f>VLOOKUP(LEFT($C$3:$C$2600,3),Table!$D$2:$E$88,2,FALSE)</f>
        <v>0</v>
      </c>
      <c r="C1993" s="455" t="str">
        <f t="shared" si="63"/>
        <v>T</v>
      </c>
      <c r="D1993" s="455" t="e">
        <f>VLOOKUP(G1993,Table!$G$3:$H$21,2,FALSE)</f>
        <v>#N/A</v>
      </c>
      <c r="E1993" s="452"/>
      <c r="F1993" s="452"/>
      <c r="G1993" s="452" t="s">
        <v>844</v>
      </c>
      <c r="H1993" s="452"/>
      <c r="I1993" s="453" t="s">
        <v>844</v>
      </c>
      <c r="J1993" s="453"/>
      <c r="K1993" s="461"/>
      <c r="L1993" s="461"/>
      <c r="M1993" s="461"/>
      <c r="N1993" s="461"/>
      <c r="O1993" s="461"/>
      <c r="P1993" s="461"/>
      <c r="Q1993" s="461"/>
      <c r="R1993" s="461"/>
      <c r="S1993" s="461"/>
      <c r="T1993" s="461"/>
      <c r="U1993" s="461"/>
      <c r="V1993" s="461"/>
    </row>
    <row r="1994" spans="1:22" s="455" customFormat="1" hidden="1">
      <c r="A1994" s="455" t="str">
        <f t="shared" si="62"/>
        <v>T</v>
      </c>
      <c r="B1994" s="455">
        <f>VLOOKUP(LEFT($C$3:$C$2600,3),Table!$D$2:$E$88,2,FALSE)</f>
        <v>0</v>
      </c>
      <c r="C1994" s="455" t="str">
        <f t="shared" si="63"/>
        <v>T</v>
      </c>
      <c r="D1994" s="455" t="e">
        <f>VLOOKUP(G1994,Table!$G$3:$H$21,2,FALSE)</f>
        <v>#N/A</v>
      </c>
      <c r="E1994" s="452"/>
      <c r="F1994" s="452"/>
      <c r="G1994" s="452" t="s">
        <v>844</v>
      </c>
      <c r="H1994" s="452"/>
      <c r="I1994" s="453" t="s">
        <v>844</v>
      </c>
      <c r="J1994" s="453"/>
      <c r="K1994" s="461"/>
      <c r="L1994" s="461"/>
      <c r="M1994" s="461"/>
      <c r="N1994" s="461"/>
      <c r="O1994" s="461"/>
      <c r="P1994" s="461"/>
      <c r="Q1994" s="461"/>
      <c r="R1994" s="461"/>
      <c r="S1994" s="461"/>
      <c r="T1994" s="461"/>
      <c r="U1994" s="461"/>
      <c r="V1994" s="461"/>
    </row>
    <row r="1995" spans="1:22" s="455" customFormat="1" hidden="1">
      <c r="A1995" s="455" t="str">
        <f t="shared" si="62"/>
        <v>T</v>
      </c>
      <c r="B1995" s="455">
        <f>VLOOKUP(LEFT($C$3:$C$2600,3),Table!$D$2:$E$88,2,FALSE)</f>
        <v>0</v>
      </c>
      <c r="C1995" s="455" t="str">
        <f t="shared" si="63"/>
        <v>T</v>
      </c>
      <c r="D1995" s="455" t="e">
        <f>VLOOKUP(G1995,Table!$G$3:$H$21,2,FALSE)</f>
        <v>#N/A</v>
      </c>
      <c r="E1995" s="452"/>
      <c r="F1995" s="452"/>
      <c r="G1995" s="452" t="s">
        <v>844</v>
      </c>
      <c r="H1995" s="452"/>
      <c r="I1995" s="453" t="s">
        <v>844</v>
      </c>
      <c r="J1995" s="453"/>
      <c r="K1995" s="461"/>
      <c r="L1995" s="461"/>
      <c r="M1995" s="461"/>
      <c r="N1995" s="461"/>
      <c r="O1995" s="461"/>
      <c r="P1995" s="461"/>
      <c r="Q1995" s="461"/>
      <c r="R1995" s="461"/>
      <c r="S1995" s="461"/>
      <c r="T1995" s="461"/>
      <c r="U1995" s="461"/>
      <c r="V1995" s="461"/>
    </row>
    <row r="1996" spans="1:22" s="455" customFormat="1" hidden="1">
      <c r="A1996" s="455" t="str">
        <f t="shared" si="62"/>
        <v>T</v>
      </c>
      <c r="B1996" s="455">
        <f>VLOOKUP(LEFT($C$3:$C$2600,3),Table!$D$2:$E$88,2,FALSE)</f>
        <v>0</v>
      </c>
      <c r="C1996" s="455" t="str">
        <f t="shared" si="63"/>
        <v>T</v>
      </c>
      <c r="D1996" s="455" t="e">
        <f>VLOOKUP(G1996,Table!$G$3:$H$21,2,FALSE)</f>
        <v>#N/A</v>
      </c>
      <c r="E1996" s="452"/>
      <c r="F1996" s="452"/>
      <c r="G1996" s="452" t="s">
        <v>844</v>
      </c>
      <c r="H1996" s="452"/>
      <c r="I1996" s="453" t="s">
        <v>844</v>
      </c>
      <c r="J1996" s="453"/>
      <c r="K1996" s="461"/>
      <c r="L1996" s="461"/>
      <c r="M1996" s="461"/>
      <c r="N1996" s="461"/>
      <c r="O1996" s="461"/>
      <c r="P1996" s="461"/>
      <c r="Q1996" s="461"/>
      <c r="R1996" s="461"/>
      <c r="S1996" s="461"/>
      <c r="T1996" s="461"/>
      <c r="U1996" s="461"/>
      <c r="V1996" s="461"/>
    </row>
    <row r="1997" spans="1:22" s="455" customFormat="1" hidden="1">
      <c r="A1997" s="455" t="str">
        <f t="shared" si="62"/>
        <v>T</v>
      </c>
      <c r="B1997" s="455">
        <f>VLOOKUP(LEFT($C$3:$C$2600,3),Table!$D$2:$E$88,2,FALSE)</f>
        <v>0</v>
      </c>
      <c r="C1997" s="455" t="str">
        <f t="shared" si="63"/>
        <v>T</v>
      </c>
      <c r="D1997" s="455" t="e">
        <f>VLOOKUP(G1997,Table!$G$3:$H$21,2,FALSE)</f>
        <v>#N/A</v>
      </c>
      <c r="E1997" s="452"/>
      <c r="F1997" s="452"/>
      <c r="G1997" s="452" t="s">
        <v>844</v>
      </c>
      <c r="H1997" s="452"/>
      <c r="I1997" s="453" t="s">
        <v>844</v>
      </c>
      <c r="J1997" s="453"/>
      <c r="K1997" s="461"/>
      <c r="L1997" s="461"/>
      <c r="M1997" s="461"/>
      <c r="N1997" s="461"/>
      <c r="O1997" s="461"/>
      <c r="P1997" s="461"/>
      <c r="Q1997" s="461"/>
      <c r="R1997" s="461"/>
      <c r="S1997" s="461"/>
      <c r="T1997" s="461"/>
      <c r="U1997" s="461"/>
      <c r="V1997" s="461"/>
    </row>
    <row r="1998" spans="1:22" s="455" customFormat="1" hidden="1">
      <c r="A1998" s="455" t="str">
        <f t="shared" si="62"/>
        <v>T</v>
      </c>
      <c r="B1998" s="455">
        <f>VLOOKUP(LEFT($C$3:$C$2600,3),Table!$D$2:$E$88,2,FALSE)</f>
        <v>0</v>
      </c>
      <c r="C1998" s="455" t="str">
        <f t="shared" si="63"/>
        <v>T</v>
      </c>
      <c r="D1998" s="455" t="e">
        <f>VLOOKUP(G1998,Table!$G$3:$H$21,2,FALSE)</f>
        <v>#N/A</v>
      </c>
      <c r="E1998" s="452"/>
      <c r="F1998" s="452"/>
      <c r="G1998" s="452" t="s">
        <v>844</v>
      </c>
      <c r="H1998" s="452"/>
      <c r="I1998" s="453" t="s">
        <v>844</v>
      </c>
      <c r="J1998" s="453"/>
      <c r="K1998" s="461"/>
      <c r="L1998" s="461"/>
      <c r="M1998" s="461"/>
      <c r="N1998" s="461"/>
      <c r="O1998" s="461"/>
      <c r="P1998" s="461"/>
      <c r="Q1998" s="461"/>
      <c r="R1998" s="461"/>
      <c r="S1998" s="461"/>
      <c r="T1998" s="461"/>
      <c r="U1998" s="461"/>
      <c r="V1998" s="461"/>
    </row>
    <row r="1999" spans="1:22" s="455" customFormat="1" hidden="1">
      <c r="A1999" s="455" t="str">
        <f t="shared" si="62"/>
        <v>T</v>
      </c>
      <c r="B1999" s="455">
        <f>VLOOKUP(LEFT($C$3:$C$2600,3),Table!$D$2:$E$88,2,FALSE)</f>
        <v>0</v>
      </c>
      <c r="C1999" s="455" t="str">
        <f t="shared" si="63"/>
        <v>T</v>
      </c>
      <c r="D1999" s="455" t="e">
        <f>VLOOKUP(G1999,Table!$G$3:$H$21,2,FALSE)</f>
        <v>#N/A</v>
      </c>
      <c r="E1999" s="452"/>
      <c r="F1999" s="452"/>
      <c r="G1999" s="452" t="s">
        <v>844</v>
      </c>
      <c r="H1999" s="452"/>
      <c r="I1999" s="453" t="s">
        <v>844</v>
      </c>
      <c r="J1999" s="453"/>
      <c r="K1999" s="461"/>
      <c r="L1999" s="461"/>
      <c r="M1999" s="461"/>
      <c r="N1999" s="461"/>
      <c r="O1999" s="461"/>
      <c r="P1999" s="461"/>
      <c r="Q1999" s="461"/>
      <c r="R1999" s="461"/>
      <c r="S1999" s="461"/>
      <c r="T1999" s="461"/>
      <c r="U1999" s="461"/>
      <c r="V1999" s="461"/>
    </row>
    <row r="2000" spans="1:22" s="455" customFormat="1" hidden="1">
      <c r="A2000" s="455" t="str">
        <f t="shared" si="62"/>
        <v>T</v>
      </c>
      <c r="B2000" s="455">
        <f>VLOOKUP(LEFT($C$3:$C$2600,3),Table!$D$2:$E$88,2,FALSE)</f>
        <v>0</v>
      </c>
      <c r="C2000" s="455" t="str">
        <f t="shared" si="63"/>
        <v>T</v>
      </c>
      <c r="D2000" s="455" t="e">
        <f>VLOOKUP(G2000,Table!$G$3:$H$21,2,FALSE)</f>
        <v>#N/A</v>
      </c>
      <c r="E2000" s="452"/>
      <c r="F2000" s="452"/>
      <c r="G2000" s="452" t="s">
        <v>844</v>
      </c>
      <c r="H2000" s="452"/>
      <c r="I2000" s="453" t="s">
        <v>844</v>
      </c>
      <c r="J2000" s="453"/>
      <c r="K2000" s="461"/>
      <c r="L2000" s="461"/>
      <c r="M2000" s="461"/>
      <c r="N2000" s="461"/>
      <c r="O2000" s="461"/>
      <c r="P2000" s="461"/>
      <c r="Q2000" s="461"/>
      <c r="R2000" s="461"/>
      <c r="S2000" s="461"/>
      <c r="T2000" s="461"/>
      <c r="U2000" s="461"/>
      <c r="V2000" s="461"/>
    </row>
    <row r="2001" spans="1:22" s="455" customFormat="1" hidden="1">
      <c r="A2001" s="455" t="str">
        <f t="shared" si="62"/>
        <v>T</v>
      </c>
      <c r="B2001" s="455">
        <f>VLOOKUP(LEFT($C$3:$C$2600,3),Table!$D$2:$E$88,2,FALSE)</f>
        <v>0</v>
      </c>
      <c r="C2001" s="455" t="str">
        <f t="shared" si="63"/>
        <v>T</v>
      </c>
      <c r="D2001" s="455" t="e">
        <f>VLOOKUP(G2001,Table!$G$3:$H$21,2,FALSE)</f>
        <v>#N/A</v>
      </c>
      <c r="E2001" s="452"/>
      <c r="F2001" s="452"/>
      <c r="G2001" s="452" t="s">
        <v>844</v>
      </c>
      <c r="H2001" s="452"/>
      <c r="I2001" s="453" t="s">
        <v>844</v>
      </c>
      <c r="J2001" s="453"/>
      <c r="K2001" s="461"/>
      <c r="L2001" s="461"/>
      <c r="M2001" s="461"/>
      <c r="N2001" s="461"/>
      <c r="O2001" s="461"/>
      <c r="P2001" s="461"/>
      <c r="Q2001" s="461"/>
      <c r="R2001" s="461"/>
      <c r="S2001" s="461"/>
      <c r="T2001" s="461"/>
      <c r="U2001" s="461"/>
      <c r="V2001" s="461"/>
    </row>
    <row r="2002" spans="1:22" s="455" customFormat="1" hidden="1">
      <c r="A2002" s="455" t="str">
        <f t="shared" si="62"/>
        <v>T</v>
      </c>
      <c r="B2002" s="455">
        <f>VLOOKUP(LEFT($C$3:$C$2600,3),Table!$D$2:$E$88,2,FALSE)</f>
        <v>0</v>
      </c>
      <c r="C2002" s="455" t="str">
        <f t="shared" si="63"/>
        <v>T</v>
      </c>
      <c r="D2002" s="455" t="e">
        <f>VLOOKUP(G2002,Table!$G$3:$H$21,2,FALSE)</f>
        <v>#N/A</v>
      </c>
      <c r="E2002" s="452"/>
      <c r="F2002" s="452"/>
      <c r="G2002" s="452" t="s">
        <v>844</v>
      </c>
      <c r="H2002" s="452"/>
      <c r="I2002" s="453" t="s">
        <v>844</v>
      </c>
      <c r="J2002" s="453"/>
      <c r="K2002" s="461"/>
      <c r="L2002" s="461"/>
      <c r="M2002" s="461"/>
      <c r="N2002" s="461"/>
      <c r="O2002" s="461"/>
      <c r="P2002" s="461"/>
      <c r="Q2002" s="461"/>
      <c r="R2002" s="461"/>
      <c r="S2002" s="461"/>
      <c r="T2002" s="461"/>
      <c r="U2002" s="461"/>
      <c r="V2002" s="461"/>
    </row>
    <row r="2003" spans="1:22" s="455" customFormat="1" hidden="1">
      <c r="A2003" s="455" t="str">
        <f t="shared" si="62"/>
        <v>T</v>
      </c>
      <c r="B2003" s="455">
        <f>VLOOKUP(LEFT($C$3:$C$2600,3),Table!$D$2:$E$88,2,FALSE)</f>
        <v>0</v>
      </c>
      <c r="C2003" s="455" t="str">
        <f t="shared" si="63"/>
        <v>T</v>
      </c>
      <c r="D2003" s="455" t="e">
        <f>VLOOKUP(G2003,Table!$G$3:$H$21,2,FALSE)</f>
        <v>#N/A</v>
      </c>
      <c r="E2003" s="452"/>
      <c r="F2003" s="452"/>
      <c r="G2003" s="452" t="s">
        <v>844</v>
      </c>
      <c r="H2003" s="452"/>
      <c r="I2003" s="453" t="s">
        <v>844</v>
      </c>
      <c r="J2003" s="453"/>
      <c r="K2003" s="461"/>
      <c r="L2003" s="461"/>
      <c r="M2003" s="461"/>
      <c r="N2003" s="461"/>
      <c r="O2003" s="461"/>
      <c r="P2003" s="461"/>
      <c r="Q2003" s="461"/>
      <c r="R2003" s="461"/>
      <c r="S2003" s="461"/>
      <c r="T2003" s="461"/>
      <c r="U2003" s="461"/>
      <c r="V2003" s="461"/>
    </row>
    <row r="2004" spans="1:22" s="455" customFormat="1" hidden="1">
      <c r="A2004" s="455" t="str">
        <f t="shared" si="62"/>
        <v>T</v>
      </c>
      <c r="B2004" s="455">
        <f>VLOOKUP(LEFT($C$3:$C$2600,3),Table!$D$2:$E$88,2,FALSE)</f>
        <v>0</v>
      </c>
      <c r="C2004" s="455" t="str">
        <f t="shared" si="63"/>
        <v>T</v>
      </c>
      <c r="D2004" s="455" t="e">
        <f>VLOOKUP(G2004,Table!$G$3:$H$21,2,FALSE)</f>
        <v>#N/A</v>
      </c>
      <c r="E2004" s="452"/>
      <c r="F2004" s="452"/>
      <c r="G2004" s="452" t="s">
        <v>844</v>
      </c>
      <c r="H2004" s="452"/>
      <c r="I2004" s="453" t="s">
        <v>844</v>
      </c>
      <c r="J2004" s="453"/>
      <c r="K2004" s="461"/>
      <c r="L2004" s="461"/>
      <c r="M2004" s="461"/>
      <c r="N2004" s="461"/>
      <c r="O2004" s="461"/>
      <c r="P2004" s="461"/>
      <c r="Q2004" s="461"/>
      <c r="R2004" s="461"/>
      <c r="S2004" s="461"/>
      <c r="T2004" s="461"/>
      <c r="U2004" s="461"/>
      <c r="V2004" s="461"/>
    </row>
    <row r="2005" spans="1:22" s="455" customFormat="1" hidden="1">
      <c r="A2005" s="455" t="str">
        <f t="shared" si="62"/>
        <v>T</v>
      </c>
      <c r="B2005" s="455">
        <f>VLOOKUP(LEFT($C$3:$C$2600,3),Table!$D$2:$E$88,2,FALSE)</f>
        <v>0</v>
      </c>
      <c r="C2005" s="455" t="str">
        <f t="shared" si="63"/>
        <v>T</v>
      </c>
      <c r="D2005" s="455" t="e">
        <f>VLOOKUP(G2005,Table!$G$3:$H$21,2,FALSE)</f>
        <v>#N/A</v>
      </c>
      <c r="E2005" s="452"/>
      <c r="F2005" s="452"/>
      <c r="G2005" s="452" t="s">
        <v>844</v>
      </c>
      <c r="H2005" s="452"/>
      <c r="I2005" s="453" t="s">
        <v>844</v>
      </c>
      <c r="J2005" s="453"/>
      <c r="K2005" s="461"/>
      <c r="L2005" s="461"/>
      <c r="M2005" s="461"/>
      <c r="N2005" s="461"/>
      <c r="O2005" s="461"/>
      <c r="P2005" s="461"/>
      <c r="Q2005" s="461"/>
      <c r="R2005" s="461"/>
      <c r="S2005" s="461"/>
      <c r="T2005" s="461"/>
      <c r="U2005" s="461"/>
      <c r="V2005" s="461"/>
    </row>
    <row r="2006" spans="1:22" s="455" customFormat="1" hidden="1">
      <c r="A2006" s="455" t="str">
        <f t="shared" si="62"/>
        <v>T</v>
      </c>
      <c r="B2006" s="455">
        <f>VLOOKUP(LEFT($C$3:$C$2600,3),Table!$D$2:$E$88,2,FALSE)</f>
        <v>0</v>
      </c>
      <c r="C2006" s="455" t="str">
        <f t="shared" si="63"/>
        <v>T</v>
      </c>
      <c r="D2006" s="455" t="e">
        <f>VLOOKUP(G2006,Table!$G$3:$H$21,2,FALSE)</f>
        <v>#N/A</v>
      </c>
      <c r="E2006" s="452"/>
      <c r="F2006" s="452"/>
      <c r="G2006" s="452" t="s">
        <v>844</v>
      </c>
      <c r="H2006" s="452"/>
      <c r="I2006" s="453" t="s">
        <v>844</v>
      </c>
      <c r="J2006" s="453"/>
      <c r="K2006" s="461"/>
      <c r="L2006" s="461"/>
      <c r="M2006" s="461"/>
      <c r="N2006" s="461"/>
      <c r="O2006" s="461"/>
      <c r="P2006" s="461"/>
      <c r="Q2006" s="461"/>
      <c r="R2006" s="461"/>
      <c r="S2006" s="461"/>
      <c r="T2006" s="461"/>
      <c r="U2006" s="461"/>
      <c r="V2006" s="461"/>
    </row>
    <row r="2007" spans="1:22" s="455" customFormat="1" hidden="1">
      <c r="A2007" s="455" t="str">
        <f t="shared" si="62"/>
        <v>T</v>
      </c>
      <c r="B2007" s="455">
        <f>VLOOKUP(LEFT($C$3:$C$2600,3),Table!$D$2:$E$88,2,FALSE)</f>
        <v>0</v>
      </c>
      <c r="C2007" s="455" t="str">
        <f t="shared" si="63"/>
        <v>T</v>
      </c>
      <c r="D2007" s="455" t="e">
        <f>VLOOKUP(G2007,Table!$G$3:$H$21,2,FALSE)</f>
        <v>#N/A</v>
      </c>
      <c r="E2007" s="452"/>
      <c r="F2007" s="452"/>
      <c r="G2007" s="452" t="s">
        <v>844</v>
      </c>
      <c r="H2007" s="452"/>
      <c r="I2007" s="453" t="s">
        <v>844</v>
      </c>
      <c r="J2007" s="453"/>
      <c r="K2007" s="461"/>
      <c r="L2007" s="461"/>
      <c r="M2007" s="461"/>
      <c r="N2007" s="461"/>
      <c r="O2007" s="461"/>
      <c r="P2007" s="461"/>
      <c r="Q2007" s="461"/>
      <c r="R2007" s="461"/>
      <c r="S2007" s="461"/>
      <c r="T2007" s="461"/>
      <c r="U2007" s="461"/>
      <c r="V2007" s="461"/>
    </row>
    <row r="2008" spans="1:22" s="455" customFormat="1" hidden="1">
      <c r="A2008" s="455" t="str">
        <f t="shared" si="62"/>
        <v>T</v>
      </c>
      <c r="B2008" s="455">
        <f>VLOOKUP(LEFT($C$3:$C$2600,3),Table!$D$2:$E$88,2,FALSE)</f>
        <v>0</v>
      </c>
      <c r="C2008" s="455" t="str">
        <f t="shared" si="63"/>
        <v>T</v>
      </c>
      <c r="D2008" s="455" t="e">
        <f>VLOOKUP(G2008,Table!$G$3:$H$21,2,FALSE)</f>
        <v>#N/A</v>
      </c>
      <c r="E2008" s="452"/>
      <c r="F2008" s="452"/>
      <c r="G2008" s="452" t="s">
        <v>844</v>
      </c>
      <c r="H2008" s="452"/>
      <c r="I2008" s="453" t="s">
        <v>844</v>
      </c>
      <c r="J2008" s="453"/>
      <c r="K2008" s="461"/>
      <c r="L2008" s="461"/>
      <c r="M2008" s="461"/>
      <c r="N2008" s="461"/>
      <c r="O2008" s="461"/>
      <c r="P2008" s="461"/>
      <c r="Q2008" s="461"/>
      <c r="R2008" s="461"/>
      <c r="S2008" s="461"/>
      <c r="T2008" s="461"/>
      <c r="U2008" s="461"/>
      <c r="V2008" s="461"/>
    </row>
    <row r="2009" spans="1:22" s="455" customFormat="1" hidden="1">
      <c r="A2009" s="455" t="str">
        <f t="shared" si="62"/>
        <v>T</v>
      </c>
      <c r="B2009" s="455">
        <f>VLOOKUP(LEFT($C$3:$C$2600,3),Table!$D$2:$E$88,2,FALSE)</f>
        <v>0</v>
      </c>
      <c r="C2009" s="455" t="str">
        <f t="shared" si="63"/>
        <v>T</v>
      </c>
      <c r="D2009" s="455" t="e">
        <f>VLOOKUP(G2009,Table!$G$3:$H$21,2,FALSE)</f>
        <v>#N/A</v>
      </c>
      <c r="E2009" s="452"/>
      <c r="F2009" s="452"/>
      <c r="G2009" s="452" t="s">
        <v>844</v>
      </c>
      <c r="H2009" s="452"/>
      <c r="I2009" s="453" t="s">
        <v>844</v>
      </c>
      <c r="J2009" s="453"/>
      <c r="K2009" s="461"/>
      <c r="L2009" s="461"/>
      <c r="M2009" s="461"/>
      <c r="N2009" s="461"/>
      <c r="O2009" s="461"/>
      <c r="P2009" s="461"/>
      <c r="Q2009" s="461"/>
      <c r="R2009" s="461"/>
      <c r="S2009" s="461"/>
      <c r="T2009" s="461"/>
      <c r="U2009" s="461"/>
      <c r="V2009" s="461"/>
    </row>
    <row r="2010" spans="1:22" s="455" customFormat="1" hidden="1">
      <c r="A2010" s="455" t="str">
        <f t="shared" si="62"/>
        <v>T</v>
      </c>
      <c r="B2010" s="455">
        <f>VLOOKUP(LEFT($C$3:$C$2600,3),Table!$D$2:$E$88,2,FALSE)</f>
        <v>0</v>
      </c>
      <c r="C2010" s="455" t="str">
        <f t="shared" si="63"/>
        <v>T</v>
      </c>
      <c r="D2010" s="455" t="e">
        <f>VLOOKUP(G2010,Table!$G$3:$H$21,2,FALSE)</f>
        <v>#N/A</v>
      </c>
      <c r="E2010" s="452"/>
      <c r="F2010" s="452"/>
      <c r="G2010" s="452" t="s">
        <v>844</v>
      </c>
      <c r="H2010" s="452"/>
      <c r="I2010" s="453" t="s">
        <v>844</v>
      </c>
      <c r="J2010" s="453"/>
      <c r="K2010" s="461"/>
      <c r="L2010" s="461"/>
      <c r="M2010" s="461"/>
      <c r="N2010" s="461"/>
      <c r="O2010" s="461"/>
      <c r="P2010" s="461"/>
      <c r="Q2010" s="461"/>
      <c r="R2010" s="461"/>
      <c r="S2010" s="461"/>
      <c r="T2010" s="461"/>
      <c r="U2010" s="461"/>
      <c r="V2010" s="461"/>
    </row>
    <row r="2011" spans="1:22" s="455" customFormat="1" hidden="1">
      <c r="A2011" s="455" t="str">
        <f t="shared" si="62"/>
        <v>T</v>
      </c>
      <c r="B2011" s="455">
        <f>VLOOKUP(LEFT($C$3:$C$2600,3),Table!$D$2:$E$88,2,FALSE)</f>
        <v>0</v>
      </c>
      <c r="C2011" s="455" t="str">
        <f t="shared" si="63"/>
        <v>T</v>
      </c>
      <c r="D2011" s="455" t="e">
        <f>VLOOKUP(G2011,Table!$G$3:$H$21,2,FALSE)</f>
        <v>#N/A</v>
      </c>
      <c r="E2011" s="452"/>
      <c r="F2011" s="452"/>
      <c r="G2011" s="452" t="s">
        <v>844</v>
      </c>
      <c r="H2011" s="452"/>
      <c r="I2011" s="453" t="s">
        <v>844</v>
      </c>
      <c r="J2011" s="453"/>
      <c r="K2011" s="461"/>
      <c r="L2011" s="461"/>
      <c r="M2011" s="461"/>
      <c r="N2011" s="461"/>
      <c r="O2011" s="461"/>
      <c r="P2011" s="461"/>
      <c r="Q2011" s="461"/>
      <c r="R2011" s="461"/>
      <c r="S2011" s="461"/>
      <c r="T2011" s="461"/>
      <c r="U2011" s="461"/>
      <c r="V2011" s="461"/>
    </row>
    <row r="2012" spans="1:22" s="455" customFormat="1" hidden="1">
      <c r="A2012" s="455" t="str">
        <f t="shared" si="62"/>
        <v>T</v>
      </c>
      <c r="B2012" s="455">
        <f>VLOOKUP(LEFT($C$3:$C$2600,3),Table!$D$2:$E$88,2,FALSE)</f>
        <v>0</v>
      </c>
      <c r="C2012" s="455" t="str">
        <f t="shared" si="63"/>
        <v>T</v>
      </c>
      <c r="D2012" s="455" t="e">
        <f>VLOOKUP(G2012,Table!$G$3:$H$21,2,FALSE)</f>
        <v>#N/A</v>
      </c>
      <c r="E2012" s="452"/>
      <c r="F2012" s="452"/>
      <c r="G2012" s="452" t="s">
        <v>844</v>
      </c>
      <c r="H2012" s="452"/>
      <c r="I2012" s="453" t="s">
        <v>844</v>
      </c>
      <c r="J2012" s="453"/>
      <c r="K2012" s="461"/>
      <c r="L2012" s="461"/>
      <c r="M2012" s="461"/>
      <c r="N2012" s="461"/>
      <c r="O2012" s="461"/>
      <c r="P2012" s="461"/>
      <c r="Q2012" s="461"/>
      <c r="R2012" s="461"/>
      <c r="S2012" s="461"/>
      <c r="T2012" s="461"/>
      <c r="U2012" s="461"/>
      <c r="V2012" s="461"/>
    </row>
    <row r="2013" spans="1:22" s="455" customFormat="1" hidden="1">
      <c r="A2013" s="455" t="str">
        <f t="shared" si="62"/>
        <v>T</v>
      </c>
      <c r="B2013" s="455">
        <f>VLOOKUP(LEFT($C$3:$C$2600,3),Table!$D$2:$E$88,2,FALSE)</f>
        <v>0</v>
      </c>
      <c r="C2013" s="455" t="str">
        <f t="shared" si="63"/>
        <v>T</v>
      </c>
      <c r="D2013" s="455" t="e">
        <f>VLOOKUP(G2013,Table!$G$3:$H$21,2,FALSE)</f>
        <v>#N/A</v>
      </c>
      <c r="E2013" s="452"/>
      <c r="F2013" s="452"/>
      <c r="G2013" s="452" t="s">
        <v>844</v>
      </c>
      <c r="H2013" s="452"/>
      <c r="I2013" s="453" t="s">
        <v>844</v>
      </c>
      <c r="J2013" s="453"/>
      <c r="K2013" s="461"/>
      <c r="L2013" s="461"/>
      <c r="M2013" s="461"/>
      <c r="N2013" s="461"/>
      <c r="O2013" s="461"/>
      <c r="P2013" s="461"/>
      <c r="Q2013" s="461"/>
      <c r="R2013" s="461"/>
      <c r="S2013" s="461"/>
      <c r="T2013" s="461"/>
      <c r="U2013" s="461"/>
      <c r="V2013" s="461"/>
    </row>
    <row r="2014" spans="1:22" s="455" customFormat="1" hidden="1">
      <c r="A2014" s="455" t="str">
        <f t="shared" si="62"/>
        <v>T</v>
      </c>
      <c r="B2014" s="455">
        <f>VLOOKUP(LEFT($C$3:$C$2600,3),Table!$D$2:$E$88,2,FALSE)</f>
        <v>0</v>
      </c>
      <c r="C2014" s="455" t="str">
        <f t="shared" si="63"/>
        <v>T</v>
      </c>
      <c r="D2014" s="455" t="e">
        <f>VLOOKUP(G2014,Table!$G$3:$H$21,2,FALSE)</f>
        <v>#N/A</v>
      </c>
      <c r="E2014" s="452"/>
      <c r="F2014" s="452"/>
      <c r="G2014" s="452" t="s">
        <v>844</v>
      </c>
      <c r="H2014" s="452"/>
      <c r="I2014" s="453" t="s">
        <v>844</v>
      </c>
      <c r="J2014" s="453"/>
      <c r="K2014" s="461"/>
      <c r="L2014" s="461"/>
      <c r="M2014" s="461"/>
      <c r="N2014" s="461"/>
      <c r="O2014" s="461"/>
      <c r="P2014" s="461"/>
      <c r="Q2014" s="461"/>
      <c r="R2014" s="461"/>
      <c r="S2014" s="461"/>
      <c r="T2014" s="461"/>
      <c r="U2014" s="461"/>
      <c r="V2014" s="461"/>
    </row>
    <row r="2015" spans="1:22" s="455" customFormat="1" hidden="1">
      <c r="A2015" s="455" t="str">
        <f t="shared" si="62"/>
        <v>T</v>
      </c>
      <c r="B2015" s="455">
        <f>VLOOKUP(LEFT($C$3:$C$2600,3),Table!$D$2:$E$88,2,FALSE)</f>
        <v>0</v>
      </c>
      <c r="C2015" s="455" t="str">
        <f t="shared" si="63"/>
        <v>T</v>
      </c>
      <c r="D2015" s="455" t="e">
        <f>VLOOKUP(G2015,Table!$G$3:$H$21,2,FALSE)</f>
        <v>#N/A</v>
      </c>
      <c r="E2015" s="452"/>
      <c r="F2015" s="452"/>
      <c r="G2015" s="452" t="s">
        <v>844</v>
      </c>
      <c r="H2015" s="452"/>
      <c r="I2015" s="453" t="s">
        <v>844</v>
      </c>
      <c r="J2015" s="453"/>
      <c r="K2015" s="461"/>
      <c r="L2015" s="461"/>
      <c r="M2015" s="461"/>
      <c r="N2015" s="461"/>
      <c r="O2015" s="461"/>
      <c r="P2015" s="461"/>
      <c r="Q2015" s="461"/>
      <c r="R2015" s="461"/>
      <c r="S2015" s="461"/>
      <c r="T2015" s="461"/>
      <c r="U2015" s="461"/>
      <c r="V2015" s="461"/>
    </row>
    <row r="2016" spans="1:22" s="455" customFormat="1" hidden="1">
      <c r="A2016" s="455" t="str">
        <f t="shared" si="62"/>
        <v>T</v>
      </c>
      <c r="B2016" s="455">
        <f>VLOOKUP(LEFT($C$3:$C$2600,3),Table!$D$2:$E$88,2,FALSE)</f>
        <v>0</v>
      </c>
      <c r="C2016" s="455" t="str">
        <f t="shared" si="63"/>
        <v>T</v>
      </c>
      <c r="D2016" s="455" t="e">
        <f>VLOOKUP(G2016,Table!$G$3:$H$21,2,FALSE)</f>
        <v>#N/A</v>
      </c>
      <c r="E2016" s="452"/>
      <c r="F2016" s="452"/>
      <c r="G2016" s="452" t="s">
        <v>844</v>
      </c>
      <c r="H2016" s="452"/>
      <c r="I2016" s="453" t="s">
        <v>844</v>
      </c>
      <c r="J2016" s="453"/>
      <c r="K2016" s="461"/>
      <c r="L2016" s="461"/>
      <c r="M2016" s="461"/>
      <c r="N2016" s="461"/>
      <c r="O2016" s="461"/>
      <c r="P2016" s="461"/>
      <c r="Q2016" s="461"/>
      <c r="R2016" s="461"/>
      <c r="S2016" s="461"/>
      <c r="T2016" s="461"/>
      <c r="U2016" s="461"/>
      <c r="V2016" s="461"/>
    </row>
    <row r="2017" spans="1:22" s="455" customFormat="1" hidden="1">
      <c r="A2017" s="455" t="str">
        <f t="shared" si="62"/>
        <v>T</v>
      </c>
      <c r="B2017" s="455">
        <f>VLOOKUP(LEFT($C$3:$C$2600,3),Table!$D$2:$E$88,2,FALSE)</f>
        <v>0</v>
      </c>
      <c r="C2017" s="455" t="str">
        <f t="shared" si="63"/>
        <v>T</v>
      </c>
      <c r="D2017" s="455" t="e">
        <f>VLOOKUP(G2017,Table!$G$3:$H$21,2,FALSE)</f>
        <v>#N/A</v>
      </c>
      <c r="E2017" s="452"/>
      <c r="F2017" s="452"/>
      <c r="G2017" s="452" t="s">
        <v>844</v>
      </c>
      <c r="H2017" s="452"/>
      <c r="I2017" s="453" t="s">
        <v>844</v>
      </c>
      <c r="J2017" s="453"/>
      <c r="K2017" s="461"/>
      <c r="L2017" s="461"/>
      <c r="M2017" s="461"/>
      <c r="N2017" s="461"/>
      <c r="O2017" s="461"/>
      <c r="P2017" s="461"/>
      <c r="Q2017" s="461"/>
      <c r="R2017" s="461"/>
      <c r="S2017" s="461"/>
      <c r="T2017" s="461"/>
      <c r="U2017" s="461"/>
      <c r="V2017" s="461"/>
    </row>
    <row r="2018" spans="1:22" s="455" customFormat="1" hidden="1">
      <c r="A2018" s="455" t="str">
        <f t="shared" si="62"/>
        <v>T</v>
      </c>
      <c r="B2018" s="455">
        <f>VLOOKUP(LEFT($C$3:$C$2600,3),Table!$D$2:$E$88,2,FALSE)</f>
        <v>0</v>
      </c>
      <c r="C2018" s="455" t="str">
        <f t="shared" si="63"/>
        <v>T</v>
      </c>
      <c r="D2018" s="455" t="e">
        <f>VLOOKUP(G2018,Table!$G$3:$H$21,2,FALSE)</f>
        <v>#N/A</v>
      </c>
      <c r="E2018" s="452"/>
      <c r="F2018" s="452"/>
      <c r="G2018" s="452" t="s">
        <v>844</v>
      </c>
      <c r="H2018" s="452"/>
      <c r="I2018" s="453" t="s">
        <v>844</v>
      </c>
      <c r="J2018" s="453"/>
      <c r="K2018" s="461"/>
      <c r="L2018" s="461"/>
      <c r="M2018" s="461"/>
      <c r="N2018" s="461"/>
      <c r="O2018" s="461"/>
      <c r="P2018" s="461"/>
      <c r="Q2018" s="461"/>
      <c r="R2018" s="461"/>
      <c r="S2018" s="461"/>
      <c r="T2018" s="461"/>
      <c r="U2018" s="461"/>
      <c r="V2018" s="461"/>
    </row>
    <row r="2019" spans="1:22" s="455" customFormat="1" hidden="1">
      <c r="A2019" s="455" t="str">
        <f t="shared" si="62"/>
        <v>T</v>
      </c>
      <c r="B2019" s="455">
        <f>VLOOKUP(LEFT($C$3:$C$2600,3),Table!$D$2:$E$88,2,FALSE)</f>
        <v>0</v>
      </c>
      <c r="C2019" s="455" t="str">
        <f t="shared" si="63"/>
        <v>T</v>
      </c>
      <c r="D2019" s="455" t="e">
        <f>VLOOKUP(G2019,Table!$G$3:$H$21,2,FALSE)</f>
        <v>#N/A</v>
      </c>
      <c r="E2019" s="452"/>
      <c r="F2019" s="452"/>
      <c r="G2019" s="452" t="s">
        <v>844</v>
      </c>
      <c r="H2019" s="452"/>
      <c r="I2019" s="453" t="s">
        <v>844</v>
      </c>
      <c r="J2019" s="453"/>
      <c r="K2019" s="461"/>
      <c r="L2019" s="461"/>
      <c r="M2019" s="461"/>
      <c r="N2019" s="461"/>
      <c r="O2019" s="461"/>
      <c r="P2019" s="461"/>
      <c r="Q2019" s="461"/>
      <c r="R2019" s="461"/>
      <c r="S2019" s="461"/>
      <c r="T2019" s="461"/>
      <c r="U2019" s="461"/>
      <c r="V2019" s="461"/>
    </row>
    <row r="2020" spans="1:22" s="455" customFormat="1" hidden="1">
      <c r="A2020" s="455" t="str">
        <f t="shared" si="62"/>
        <v>T</v>
      </c>
      <c r="B2020" s="455">
        <f>VLOOKUP(LEFT($C$3:$C$2600,3),Table!$D$2:$E$88,2,FALSE)</f>
        <v>0</v>
      </c>
      <c r="C2020" s="455" t="str">
        <f t="shared" si="63"/>
        <v>T</v>
      </c>
      <c r="D2020" s="455" t="e">
        <f>VLOOKUP(G2020,Table!$G$3:$H$21,2,FALSE)</f>
        <v>#N/A</v>
      </c>
      <c r="E2020" s="452"/>
      <c r="F2020" s="452"/>
      <c r="G2020" s="452" t="s">
        <v>844</v>
      </c>
      <c r="H2020" s="452"/>
      <c r="I2020" s="453" t="s">
        <v>844</v>
      </c>
      <c r="J2020" s="453"/>
      <c r="K2020" s="461"/>
      <c r="L2020" s="461"/>
      <c r="M2020" s="461"/>
      <c r="N2020" s="461"/>
      <c r="O2020" s="461"/>
      <c r="P2020" s="461"/>
      <c r="Q2020" s="461"/>
      <c r="R2020" s="461"/>
      <c r="S2020" s="461"/>
      <c r="T2020" s="461"/>
      <c r="U2020" s="461"/>
      <c r="V2020" s="461"/>
    </row>
    <row r="2021" spans="1:22" s="455" customFormat="1" hidden="1">
      <c r="A2021" s="455" t="str">
        <f t="shared" si="62"/>
        <v>T</v>
      </c>
      <c r="B2021" s="455">
        <f>VLOOKUP(LEFT($C$3:$C$2600,3),Table!$D$2:$E$88,2,FALSE)</f>
        <v>0</v>
      </c>
      <c r="C2021" s="455" t="str">
        <f t="shared" si="63"/>
        <v>T</v>
      </c>
      <c r="D2021" s="455" t="e">
        <f>VLOOKUP(G2021,Table!$G$3:$H$21,2,FALSE)</f>
        <v>#N/A</v>
      </c>
      <c r="E2021" s="452"/>
      <c r="F2021" s="452"/>
      <c r="G2021" s="452" t="s">
        <v>844</v>
      </c>
      <c r="H2021" s="452"/>
      <c r="I2021" s="453" t="s">
        <v>844</v>
      </c>
      <c r="J2021" s="453"/>
      <c r="K2021" s="461"/>
      <c r="L2021" s="461"/>
      <c r="M2021" s="461"/>
      <c r="N2021" s="461"/>
      <c r="O2021" s="461"/>
      <c r="P2021" s="461"/>
      <c r="Q2021" s="461"/>
      <c r="R2021" s="461"/>
      <c r="S2021" s="461"/>
      <c r="T2021" s="461"/>
      <c r="U2021" s="461"/>
      <c r="V2021" s="461"/>
    </row>
    <row r="2022" spans="1:22" s="455" customFormat="1" hidden="1">
      <c r="A2022" s="455" t="str">
        <f t="shared" si="62"/>
        <v>T</v>
      </c>
      <c r="B2022" s="455">
        <f>VLOOKUP(LEFT($C$3:$C$2600,3),Table!$D$2:$E$88,2,FALSE)</f>
        <v>0</v>
      </c>
      <c r="C2022" s="455" t="str">
        <f t="shared" si="63"/>
        <v>T</v>
      </c>
      <c r="D2022" s="455" t="e">
        <f>VLOOKUP(G2022,Table!$G$3:$H$21,2,FALSE)</f>
        <v>#N/A</v>
      </c>
      <c r="E2022" s="452"/>
      <c r="F2022" s="452"/>
      <c r="G2022" s="452" t="s">
        <v>844</v>
      </c>
      <c r="H2022" s="452"/>
      <c r="I2022" s="453" t="s">
        <v>844</v>
      </c>
      <c r="J2022" s="453"/>
      <c r="K2022" s="461"/>
      <c r="L2022" s="461"/>
      <c r="M2022" s="461"/>
      <c r="N2022" s="461"/>
      <c r="O2022" s="461"/>
      <c r="P2022" s="461"/>
      <c r="Q2022" s="461"/>
      <c r="R2022" s="461"/>
      <c r="S2022" s="461"/>
      <c r="T2022" s="461"/>
      <c r="U2022" s="461"/>
      <c r="V2022" s="461"/>
    </row>
    <row r="2023" spans="1:22" s="455" customFormat="1" hidden="1">
      <c r="A2023" s="455" t="str">
        <f t="shared" si="62"/>
        <v>T</v>
      </c>
      <c r="B2023" s="455">
        <f>VLOOKUP(LEFT($C$3:$C$2600,3),Table!$D$2:$E$88,2,FALSE)</f>
        <v>0</v>
      </c>
      <c r="C2023" s="455" t="str">
        <f t="shared" si="63"/>
        <v>T</v>
      </c>
      <c r="D2023" s="455" t="e">
        <f>VLOOKUP(G2023,Table!$G$3:$H$21,2,FALSE)</f>
        <v>#N/A</v>
      </c>
      <c r="E2023" s="452"/>
      <c r="F2023" s="452"/>
      <c r="G2023" s="452" t="s">
        <v>844</v>
      </c>
      <c r="H2023" s="452"/>
      <c r="I2023" s="453" t="s">
        <v>844</v>
      </c>
      <c r="J2023" s="453"/>
      <c r="K2023" s="461"/>
      <c r="L2023" s="461"/>
      <c r="M2023" s="461"/>
      <c r="N2023" s="461"/>
      <c r="O2023" s="461"/>
      <c r="P2023" s="461"/>
      <c r="Q2023" s="461"/>
      <c r="R2023" s="461"/>
      <c r="S2023" s="461"/>
      <c r="T2023" s="461"/>
      <c r="U2023" s="461"/>
      <c r="V2023" s="461"/>
    </row>
    <row r="2024" spans="1:22" s="455" customFormat="1" hidden="1">
      <c r="A2024" s="455" t="str">
        <f t="shared" si="62"/>
        <v>T</v>
      </c>
      <c r="B2024" s="455">
        <f>VLOOKUP(LEFT($C$3:$C$2600,3),Table!$D$2:$E$88,2,FALSE)</f>
        <v>0</v>
      </c>
      <c r="C2024" s="455" t="str">
        <f t="shared" si="63"/>
        <v>T</v>
      </c>
      <c r="D2024" s="455" t="e">
        <f>VLOOKUP(G2024,Table!$G$3:$H$21,2,FALSE)</f>
        <v>#N/A</v>
      </c>
      <c r="E2024" s="452"/>
      <c r="F2024" s="452"/>
      <c r="G2024" s="452" t="s">
        <v>844</v>
      </c>
      <c r="H2024" s="452"/>
      <c r="I2024" s="453" t="s">
        <v>844</v>
      </c>
      <c r="J2024" s="453"/>
      <c r="K2024" s="461"/>
      <c r="L2024" s="461"/>
      <c r="M2024" s="461"/>
      <c r="N2024" s="461"/>
      <c r="O2024" s="461"/>
      <c r="P2024" s="461"/>
      <c r="Q2024" s="461"/>
      <c r="R2024" s="461"/>
      <c r="S2024" s="461"/>
      <c r="T2024" s="461"/>
      <c r="U2024" s="461"/>
      <c r="V2024" s="461"/>
    </row>
    <row r="2025" spans="1:22" s="455" customFormat="1" hidden="1">
      <c r="A2025" s="455" t="str">
        <f t="shared" si="62"/>
        <v>T</v>
      </c>
      <c r="B2025" s="455">
        <f>VLOOKUP(LEFT($C$3:$C$2600,3),Table!$D$2:$E$88,2,FALSE)</f>
        <v>0</v>
      </c>
      <c r="C2025" s="455" t="str">
        <f t="shared" si="63"/>
        <v>T</v>
      </c>
      <c r="D2025" s="455" t="e">
        <f>VLOOKUP(G2025,Table!$G$3:$H$21,2,FALSE)</f>
        <v>#N/A</v>
      </c>
      <c r="E2025" s="452"/>
      <c r="F2025" s="452"/>
      <c r="G2025" s="452" t="s">
        <v>844</v>
      </c>
      <c r="H2025" s="452"/>
      <c r="I2025" s="453" t="s">
        <v>844</v>
      </c>
      <c r="J2025" s="453"/>
      <c r="K2025" s="461"/>
      <c r="L2025" s="461"/>
      <c r="M2025" s="461"/>
      <c r="N2025" s="461"/>
      <c r="O2025" s="461"/>
      <c r="P2025" s="461"/>
      <c r="Q2025" s="461"/>
      <c r="R2025" s="461"/>
      <c r="S2025" s="461"/>
      <c r="T2025" s="461"/>
      <c r="U2025" s="461"/>
      <c r="V2025" s="461"/>
    </row>
    <row r="2026" spans="1:22" s="455" customFormat="1" hidden="1">
      <c r="A2026" s="455" t="str">
        <f t="shared" si="62"/>
        <v>T</v>
      </c>
      <c r="B2026" s="455">
        <f>VLOOKUP(LEFT($C$3:$C$2600,3),Table!$D$2:$E$88,2,FALSE)</f>
        <v>0</v>
      </c>
      <c r="C2026" s="455" t="str">
        <f t="shared" si="63"/>
        <v>T</v>
      </c>
      <c r="D2026" s="455" t="e">
        <f>VLOOKUP(G2026,Table!$G$3:$H$21,2,FALSE)</f>
        <v>#N/A</v>
      </c>
      <c r="E2026" s="452"/>
      <c r="F2026" s="452"/>
      <c r="G2026" s="452" t="s">
        <v>844</v>
      </c>
      <c r="H2026" s="452"/>
      <c r="I2026" s="453" t="s">
        <v>844</v>
      </c>
      <c r="J2026" s="453"/>
      <c r="K2026" s="461"/>
      <c r="L2026" s="461"/>
      <c r="M2026" s="461"/>
      <c r="N2026" s="461"/>
      <c r="O2026" s="461"/>
      <c r="P2026" s="461"/>
      <c r="Q2026" s="461"/>
      <c r="R2026" s="461"/>
      <c r="S2026" s="461"/>
      <c r="T2026" s="461"/>
      <c r="U2026" s="461"/>
      <c r="V2026" s="461"/>
    </row>
    <row r="2027" spans="1:22" s="455" customFormat="1" hidden="1">
      <c r="A2027" s="455" t="str">
        <f t="shared" si="62"/>
        <v>T</v>
      </c>
      <c r="B2027" s="455">
        <f>VLOOKUP(LEFT($C$3:$C$2600,3),Table!$D$2:$E$88,2,FALSE)</f>
        <v>0</v>
      </c>
      <c r="C2027" s="455" t="str">
        <f t="shared" si="63"/>
        <v>T</v>
      </c>
      <c r="D2027" s="455" t="e">
        <f>VLOOKUP(G2027,Table!$G$3:$H$21,2,FALSE)</f>
        <v>#N/A</v>
      </c>
      <c r="E2027" s="452"/>
      <c r="F2027" s="452"/>
      <c r="G2027" s="452" t="s">
        <v>844</v>
      </c>
      <c r="H2027" s="452"/>
      <c r="I2027" s="453" t="s">
        <v>844</v>
      </c>
      <c r="J2027" s="453"/>
      <c r="K2027" s="461"/>
      <c r="L2027" s="461"/>
      <c r="M2027" s="461"/>
      <c r="N2027" s="461"/>
      <c r="O2027" s="461"/>
      <c r="P2027" s="461"/>
      <c r="Q2027" s="461"/>
      <c r="R2027" s="461"/>
      <c r="S2027" s="461"/>
      <c r="T2027" s="461"/>
      <c r="U2027" s="461"/>
      <c r="V2027" s="461"/>
    </row>
    <row r="2028" spans="1:22" s="455" customFormat="1" hidden="1">
      <c r="A2028" s="455" t="str">
        <f t="shared" si="62"/>
        <v>T</v>
      </c>
      <c r="B2028" s="455">
        <f>VLOOKUP(LEFT($C$3:$C$2600,3),Table!$D$2:$E$88,2,FALSE)</f>
        <v>0</v>
      </c>
      <c r="C2028" s="455" t="str">
        <f t="shared" si="63"/>
        <v>T</v>
      </c>
      <c r="D2028" s="455" t="e">
        <f>VLOOKUP(G2028,Table!$G$3:$H$21,2,FALSE)</f>
        <v>#N/A</v>
      </c>
      <c r="E2028" s="452"/>
      <c r="F2028" s="452"/>
      <c r="G2028" s="452" t="s">
        <v>844</v>
      </c>
      <c r="H2028" s="452"/>
      <c r="I2028" s="453" t="s">
        <v>844</v>
      </c>
      <c r="J2028" s="453"/>
      <c r="K2028" s="461"/>
      <c r="L2028" s="461"/>
      <c r="M2028" s="461"/>
      <c r="N2028" s="461"/>
      <c r="O2028" s="461"/>
      <c r="P2028" s="461"/>
      <c r="Q2028" s="461"/>
      <c r="R2028" s="461"/>
      <c r="S2028" s="461"/>
      <c r="T2028" s="461"/>
      <c r="U2028" s="461"/>
      <c r="V2028" s="461"/>
    </row>
    <row r="2029" spans="1:22" s="455" customFormat="1" hidden="1">
      <c r="A2029" s="455" t="str">
        <f t="shared" si="62"/>
        <v>T</v>
      </c>
      <c r="B2029" s="455">
        <f>VLOOKUP(LEFT($C$3:$C$2600,3),Table!$D$2:$E$88,2,FALSE)</f>
        <v>0</v>
      </c>
      <c r="C2029" s="455" t="str">
        <f t="shared" si="63"/>
        <v>T</v>
      </c>
      <c r="D2029" s="455" t="e">
        <f>VLOOKUP(G2029,Table!$G$3:$H$21,2,FALSE)</f>
        <v>#N/A</v>
      </c>
      <c r="E2029" s="452"/>
      <c r="F2029" s="452"/>
      <c r="G2029" s="452" t="s">
        <v>844</v>
      </c>
      <c r="H2029" s="452"/>
      <c r="I2029" s="453" t="s">
        <v>844</v>
      </c>
      <c r="J2029" s="453"/>
      <c r="K2029" s="461"/>
      <c r="L2029" s="461"/>
      <c r="M2029" s="461"/>
      <c r="N2029" s="461"/>
      <c r="O2029" s="461"/>
      <c r="P2029" s="461"/>
      <c r="Q2029" s="461"/>
      <c r="R2029" s="461"/>
      <c r="S2029" s="461"/>
      <c r="T2029" s="461"/>
      <c r="U2029" s="461"/>
      <c r="V2029" s="461"/>
    </row>
    <row r="2030" spans="1:22" s="455" customFormat="1" hidden="1">
      <c r="A2030" s="455" t="str">
        <f t="shared" si="62"/>
        <v>T</v>
      </c>
      <c r="B2030" s="455">
        <f>VLOOKUP(LEFT($C$3:$C$2600,3),Table!$D$2:$E$88,2,FALSE)</f>
        <v>0</v>
      </c>
      <c r="C2030" s="455" t="str">
        <f t="shared" si="63"/>
        <v>T</v>
      </c>
      <c r="D2030" s="455" t="e">
        <f>VLOOKUP(G2030,Table!$G$3:$H$21,2,FALSE)</f>
        <v>#N/A</v>
      </c>
      <c r="E2030" s="452"/>
      <c r="F2030" s="452"/>
      <c r="G2030" s="452" t="s">
        <v>844</v>
      </c>
      <c r="H2030" s="452"/>
      <c r="I2030" s="453" t="s">
        <v>844</v>
      </c>
      <c r="J2030" s="453"/>
      <c r="K2030" s="461"/>
      <c r="L2030" s="461"/>
      <c r="M2030" s="461"/>
      <c r="N2030" s="461"/>
      <c r="O2030" s="461"/>
      <c r="P2030" s="461"/>
      <c r="Q2030" s="461"/>
      <c r="R2030" s="461"/>
      <c r="S2030" s="461"/>
      <c r="T2030" s="461"/>
      <c r="U2030" s="461"/>
      <c r="V2030" s="461"/>
    </row>
    <row r="2031" spans="1:22" s="455" customFormat="1" hidden="1">
      <c r="A2031" s="455" t="str">
        <f t="shared" si="62"/>
        <v>T</v>
      </c>
      <c r="B2031" s="455">
        <f>VLOOKUP(LEFT($C$3:$C$2600,3),Table!$D$2:$E$88,2,FALSE)</f>
        <v>0</v>
      </c>
      <c r="C2031" s="455" t="str">
        <f t="shared" si="63"/>
        <v>T</v>
      </c>
      <c r="D2031" s="455" t="e">
        <f>VLOOKUP(G2031,Table!$G$3:$H$21,2,FALSE)</f>
        <v>#N/A</v>
      </c>
      <c r="E2031" s="452"/>
      <c r="F2031" s="452"/>
      <c r="G2031" s="452" t="s">
        <v>844</v>
      </c>
      <c r="H2031" s="452"/>
      <c r="I2031" s="453" t="s">
        <v>844</v>
      </c>
      <c r="J2031" s="453"/>
      <c r="K2031" s="461"/>
      <c r="L2031" s="461"/>
      <c r="M2031" s="461"/>
      <c r="N2031" s="461"/>
      <c r="O2031" s="461"/>
      <c r="P2031" s="461"/>
      <c r="Q2031" s="461"/>
      <c r="R2031" s="461"/>
      <c r="S2031" s="461"/>
      <c r="T2031" s="461"/>
      <c r="U2031" s="461"/>
      <c r="V2031" s="461"/>
    </row>
    <row r="2032" spans="1:22" s="455" customFormat="1" hidden="1">
      <c r="A2032" s="455" t="str">
        <f t="shared" si="62"/>
        <v>T</v>
      </c>
      <c r="B2032" s="455">
        <f>VLOOKUP(LEFT($C$3:$C$2600,3),Table!$D$2:$E$88,2,FALSE)</f>
        <v>0</v>
      </c>
      <c r="C2032" s="455" t="str">
        <f t="shared" si="63"/>
        <v>T</v>
      </c>
      <c r="D2032" s="455" t="e">
        <f>VLOOKUP(G2032,Table!$G$3:$H$21,2,FALSE)</f>
        <v>#N/A</v>
      </c>
      <c r="E2032" s="452"/>
      <c r="F2032" s="452"/>
      <c r="G2032" s="452" t="s">
        <v>844</v>
      </c>
      <c r="H2032" s="452"/>
      <c r="I2032" s="453" t="s">
        <v>844</v>
      </c>
      <c r="J2032" s="453"/>
      <c r="K2032" s="461"/>
      <c r="L2032" s="461"/>
      <c r="M2032" s="461"/>
      <c r="N2032" s="461"/>
      <c r="O2032" s="461"/>
      <c r="P2032" s="461"/>
      <c r="Q2032" s="461"/>
      <c r="R2032" s="461"/>
      <c r="S2032" s="461"/>
      <c r="T2032" s="461"/>
      <c r="U2032" s="461"/>
      <c r="V2032" s="461"/>
    </row>
    <row r="2033" spans="1:22" s="455" customFormat="1" hidden="1">
      <c r="A2033" s="455" t="str">
        <f t="shared" si="62"/>
        <v>T</v>
      </c>
      <c r="B2033" s="455">
        <f>VLOOKUP(LEFT($C$3:$C$2600,3),Table!$D$2:$E$88,2,FALSE)</f>
        <v>0</v>
      </c>
      <c r="C2033" s="455" t="str">
        <f t="shared" si="63"/>
        <v>T</v>
      </c>
      <c r="D2033" s="455" t="e">
        <f>VLOOKUP(G2033,Table!$G$3:$H$21,2,FALSE)</f>
        <v>#N/A</v>
      </c>
      <c r="E2033" s="452"/>
      <c r="F2033" s="452"/>
      <c r="G2033" s="452" t="s">
        <v>844</v>
      </c>
      <c r="H2033" s="452"/>
      <c r="I2033" s="453" t="s">
        <v>844</v>
      </c>
      <c r="J2033" s="453"/>
      <c r="K2033" s="461"/>
      <c r="L2033" s="461"/>
      <c r="M2033" s="461"/>
      <c r="N2033" s="461"/>
      <c r="O2033" s="461"/>
      <c r="P2033" s="461"/>
      <c r="Q2033" s="461"/>
      <c r="R2033" s="461"/>
      <c r="S2033" s="461"/>
      <c r="T2033" s="461"/>
      <c r="U2033" s="461"/>
      <c r="V2033" s="461"/>
    </row>
    <row r="2034" spans="1:22" s="455" customFormat="1" hidden="1">
      <c r="A2034" s="455" t="str">
        <f t="shared" si="62"/>
        <v>T</v>
      </c>
      <c r="B2034" s="455">
        <f>VLOOKUP(LEFT($C$3:$C$2600,3),Table!$D$2:$E$88,2,FALSE)</f>
        <v>0</v>
      </c>
      <c r="C2034" s="455" t="str">
        <f t="shared" si="63"/>
        <v>T</v>
      </c>
      <c r="D2034" s="455" t="e">
        <f>VLOOKUP(G2034,Table!$G$3:$H$21,2,FALSE)</f>
        <v>#N/A</v>
      </c>
      <c r="E2034" s="452"/>
      <c r="F2034" s="452"/>
      <c r="G2034" s="452" t="s">
        <v>844</v>
      </c>
      <c r="H2034" s="452"/>
      <c r="I2034" s="453" t="s">
        <v>844</v>
      </c>
      <c r="J2034" s="453"/>
      <c r="K2034" s="461"/>
      <c r="L2034" s="461"/>
      <c r="M2034" s="461"/>
      <c r="N2034" s="461"/>
      <c r="O2034" s="461"/>
      <c r="P2034" s="461"/>
      <c r="Q2034" s="461"/>
      <c r="R2034" s="461"/>
      <c r="S2034" s="461"/>
      <c r="T2034" s="461"/>
      <c r="U2034" s="461"/>
      <c r="V2034" s="461"/>
    </row>
    <row r="2035" spans="1:22" s="455" customFormat="1" hidden="1">
      <c r="A2035" s="455" t="str">
        <f t="shared" si="62"/>
        <v>T</v>
      </c>
      <c r="B2035" s="455">
        <f>VLOOKUP(LEFT($C$3:$C$2600,3),Table!$D$2:$E$88,2,FALSE)</f>
        <v>0</v>
      </c>
      <c r="C2035" s="455" t="str">
        <f t="shared" si="63"/>
        <v>T</v>
      </c>
      <c r="D2035" s="455" t="e">
        <f>VLOOKUP(G2035,Table!$G$3:$H$21,2,FALSE)</f>
        <v>#N/A</v>
      </c>
      <c r="E2035" s="452"/>
      <c r="F2035" s="452"/>
      <c r="G2035" s="452" t="s">
        <v>844</v>
      </c>
      <c r="H2035" s="452"/>
      <c r="I2035" s="453" t="s">
        <v>844</v>
      </c>
      <c r="J2035" s="453"/>
      <c r="K2035" s="461"/>
      <c r="L2035" s="461"/>
      <c r="M2035" s="461"/>
      <c r="N2035" s="461"/>
      <c r="O2035" s="461"/>
      <c r="P2035" s="461"/>
      <c r="Q2035" s="461"/>
      <c r="R2035" s="461"/>
      <c r="S2035" s="461"/>
      <c r="T2035" s="461"/>
      <c r="U2035" s="461"/>
      <c r="V2035" s="461"/>
    </row>
    <row r="2036" spans="1:22" s="455" customFormat="1" hidden="1">
      <c r="A2036" s="455" t="str">
        <f t="shared" si="62"/>
        <v>T</v>
      </c>
      <c r="B2036" s="455">
        <f>VLOOKUP(LEFT($C$3:$C$2600,3),Table!$D$2:$E$88,2,FALSE)</f>
        <v>0</v>
      </c>
      <c r="C2036" s="455" t="str">
        <f t="shared" si="63"/>
        <v>T</v>
      </c>
      <c r="D2036" s="455" t="e">
        <f>VLOOKUP(G2036,Table!$G$3:$H$21,2,FALSE)</f>
        <v>#N/A</v>
      </c>
      <c r="E2036" s="452"/>
      <c r="F2036" s="452"/>
      <c r="G2036" s="452" t="s">
        <v>844</v>
      </c>
      <c r="H2036" s="452"/>
      <c r="I2036" s="453" t="s">
        <v>844</v>
      </c>
      <c r="J2036" s="453"/>
      <c r="K2036" s="461"/>
      <c r="L2036" s="461"/>
      <c r="M2036" s="461"/>
      <c r="N2036" s="461"/>
      <c r="O2036" s="461"/>
      <c r="P2036" s="461"/>
      <c r="Q2036" s="461"/>
      <c r="R2036" s="461"/>
      <c r="S2036" s="461"/>
      <c r="T2036" s="461"/>
      <c r="U2036" s="461"/>
      <c r="V2036" s="461"/>
    </row>
    <row r="2037" spans="1:22" s="455" customFormat="1" hidden="1">
      <c r="A2037" s="455" t="str">
        <f t="shared" si="62"/>
        <v>T</v>
      </c>
      <c r="B2037" s="455">
        <f>VLOOKUP(LEFT($C$3:$C$2600,3),Table!$D$2:$E$88,2,FALSE)</f>
        <v>0</v>
      </c>
      <c r="C2037" s="455" t="str">
        <f t="shared" si="63"/>
        <v>T</v>
      </c>
      <c r="D2037" s="455" t="e">
        <f>VLOOKUP(G2037,Table!$G$3:$H$21,2,FALSE)</f>
        <v>#N/A</v>
      </c>
      <c r="E2037" s="452"/>
      <c r="F2037" s="452"/>
      <c r="G2037" s="452" t="s">
        <v>844</v>
      </c>
      <c r="H2037" s="452"/>
      <c r="I2037" s="453" t="s">
        <v>844</v>
      </c>
      <c r="J2037" s="453"/>
      <c r="K2037" s="461"/>
      <c r="L2037" s="461"/>
      <c r="M2037" s="461"/>
      <c r="N2037" s="461"/>
      <c r="O2037" s="461"/>
      <c r="P2037" s="461"/>
      <c r="Q2037" s="461"/>
      <c r="R2037" s="461"/>
      <c r="S2037" s="461"/>
      <c r="T2037" s="461"/>
      <c r="U2037" s="461"/>
      <c r="V2037" s="461"/>
    </row>
    <row r="2038" spans="1:22" s="455" customFormat="1" hidden="1">
      <c r="A2038" s="455" t="str">
        <f t="shared" si="62"/>
        <v>T</v>
      </c>
      <c r="B2038" s="455">
        <f>VLOOKUP(LEFT($C$3:$C$2600,3),Table!$D$2:$E$88,2,FALSE)</f>
        <v>0</v>
      </c>
      <c r="C2038" s="455" t="str">
        <f t="shared" si="63"/>
        <v>T</v>
      </c>
      <c r="D2038" s="455" t="e">
        <f>VLOOKUP(G2038,Table!$G$3:$H$21,2,FALSE)</f>
        <v>#N/A</v>
      </c>
      <c r="E2038" s="452"/>
      <c r="F2038" s="452"/>
      <c r="G2038" s="452" t="s">
        <v>844</v>
      </c>
      <c r="H2038" s="452"/>
      <c r="I2038" s="453" t="s">
        <v>844</v>
      </c>
      <c r="J2038" s="453"/>
      <c r="K2038" s="461"/>
      <c r="L2038" s="461"/>
      <c r="M2038" s="461"/>
      <c r="N2038" s="461"/>
      <c r="O2038" s="461"/>
      <c r="P2038" s="461"/>
      <c r="Q2038" s="461"/>
      <c r="R2038" s="461"/>
      <c r="S2038" s="461"/>
      <c r="T2038" s="461"/>
      <c r="U2038" s="461"/>
      <c r="V2038" s="461"/>
    </row>
    <row r="2039" spans="1:22" s="455" customFormat="1" hidden="1">
      <c r="A2039" s="455" t="str">
        <f t="shared" si="62"/>
        <v>T</v>
      </c>
      <c r="B2039" s="455">
        <f>VLOOKUP(LEFT($C$3:$C$2600,3),Table!$D$2:$E$88,2,FALSE)</f>
        <v>0</v>
      </c>
      <c r="C2039" s="455" t="str">
        <f t="shared" si="63"/>
        <v>T</v>
      </c>
      <c r="D2039" s="455" t="e">
        <f>VLOOKUP(G2039,Table!$G$3:$H$21,2,FALSE)</f>
        <v>#N/A</v>
      </c>
      <c r="E2039" s="452"/>
      <c r="F2039" s="452"/>
      <c r="G2039" s="452" t="s">
        <v>844</v>
      </c>
      <c r="H2039" s="452"/>
      <c r="I2039" s="453" t="s">
        <v>844</v>
      </c>
      <c r="J2039" s="453"/>
      <c r="K2039" s="461"/>
      <c r="L2039" s="461"/>
      <c r="M2039" s="461"/>
      <c r="N2039" s="461"/>
      <c r="O2039" s="461"/>
      <c r="P2039" s="461"/>
      <c r="Q2039" s="461"/>
      <c r="R2039" s="461"/>
      <c r="S2039" s="461"/>
      <c r="T2039" s="461"/>
      <c r="U2039" s="461"/>
      <c r="V2039" s="461"/>
    </row>
    <row r="2040" spans="1:22" s="455" customFormat="1" hidden="1">
      <c r="A2040" s="455" t="str">
        <f t="shared" si="62"/>
        <v>T</v>
      </c>
      <c r="B2040" s="455">
        <f>VLOOKUP(LEFT($C$3:$C$2600,3),Table!$D$2:$E$88,2,FALSE)</f>
        <v>0</v>
      </c>
      <c r="C2040" s="455" t="str">
        <f t="shared" si="63"/>
        <v>T</v>
      </c>
      <c r="D2040" s="455" t="e">
        <f>VLOOKUP(G2040,Table!$G$3:$H$21,2,FALSE)</f>
        <v>#N/A</v>
      </c>
      <c r="E2040" s="452"/>
      <c r="F2040" s="452"/>
      <c r="G2040" s="452" t="s">
        <v>844</v>
      </c>
      <c r="H2040" s="452"/>
      <c r="I2040" s="453" t="s">
        <v>844</v>
      </c>
      <c r="J2040" s="453"/>
      <c r="K2040" s="461"/>
      <c r="L2040" s="461"/>
      <c r="M2040" s="461"/>
      <c r="N2040" s="461"/>
      <c r="O2040" s="461"/>
      <c r="P2040" s="461"/>
      <c r="Q2040" s="461"/>
      <c r="R2040" s="461"/>
      <c r="S2040" s="461"/>
      <c r="T2040" s="461"/>
      <c r="U2040" s="461"/>
      <c r="V2040" s="461"/>
    </row>
    <row r="2041" spans="1:22" s="455" customFormat="1" hidden="1">
      <c r="A2041" s="455" t="str">
        <f t="shared" si="62"/>
        <v>T</v>
      </c>
      <c r="B2041" s="455">
        <f>VLOOKUP(LEFT($C$3:$C$2600,3),Table!$D$2:$E$88,2,FALSE)</f>
        <v>0</v>
      </c>
      <c r="C2041" s="455" t="str">
        <f t="shared" si="63"/>
        <v>T</v>
      </c>
      <c r="D2041" s="455" t="e">
        <f>VLOOKUP(G2041,Table!$G$3:$H$21,2,FALSE)</f>
        <v>#N/A</v>
      </c>
      <c r="E2041" s="452"/>
      <c r="F2041" s="452"/>
      <c r="G2041" s="452" t="s">
        <v>844</v>
      </c>
      <c r="H2041" s="452"/>
      <c r="I2041" s="453" t="s">
        <v>844</v>
      </c>
      <c r="J2041" s="453"/>
      <c r="K2041" s="461"/>
      <c r="L2041" s="461"/>
      <c r="M2041" s="461"/>
      <c r="N2041" s="461"/>
      <c r="O2041" s="461"/>
      <c r="P2041" s="461"/>
      <c r="Q2041" s="461"/>
      <c r="R2041" s="461"/>
      <c r="S2041" s="461"/>
      <c r="T2041" s="461"/>
      <c r="U2041" s="461"/>
      <c r="V2041" s="461"/>
    </row>
    <row r="2042" spans="1:22" s="455" customFormat="1" hidden="1">
      <c r="A2042" s="455" t="str">
        <f t="shared" si="62"/>
        <v>T</v>
      </c>
      <c r="B2042" s="455">
        <f>VLOOKUP(LEFT($C$3:$C$2600,3),Table!$D$2:$E$88,2,FALSE)</f>
        <v>0</v>
      </c>
      <c r="C2042" s="455" t="str">
        <f t="shared" si="63"/>
        <v>T</v>
      </c>
      <c r="D2042" s="455" t="e">
        <f>VLOOKUP(G2042,Table!$G$3:$H$21,2,FALSE)</f>
        <v>#N/A</v>
      </c>
      <c r="E2042" s="452"/>
      <c r="F2042" s="452"/>
      <c r="G2042" s="452" t="s">
        <v>844</v>
      </c>
      <c r="H2042" s="452"/>
      <c r="I2042" s="453" t="s">
        <v>844</v>
      </c>
      <c r="J2042" s="453"/>
      <c r="K2042" s="461"/>
      <c r="L2042" s="461"/>
      <c r="M2042" s="461"/>
      <c r="N2042" s="461"/>
      <c r="O2042" s="461"/>
      <c r="P2042" s="461"/>
      <c r="Q2042" s="461"/>
      <c r="R2042" s="461"/>
      <c r="S2042" s="461"/>
      <c r="T2042" s="461"/>
      <c r="U2042" s="461"/>
      <c r="V2042" s="461"/>
    </row>
    <row r="2043" spans="1:22" s="455" customFormat="1" hidden="1">
      <c r="A2043" s="455" t="str">
        <f t="shared" si="62"/>
        <v>T</v>
      </c>
      <c r="B2043" s="455">
        <f>VLOOKUP(LEFT($C$3:$C$2600,3),Table!$D$2:$E$88,2,FALSE)</f>
        <v>0</v>
      </c>
      <c r="C2043" s="455" t="str">
        <f t="shared" si="63"/>
        <v>T</v>
      </c>
      <c r="D2043" s="455" t="e">
        <f>VLOOKUP(G2043,Table!$G$3:$H$21,2,FALSE)</f>
        <v>#N/A</v>
      </c>
      <c r="E2043" s="452"/>
      <c r="F2043" s="452"/>
      <c r="G2043" s="452" t="s">
        <v>844</v>
      </c>
      <c r="H2043" s="452"/>
      <c r="I2043" s="453" t="s">
        <v>844</v>
      </c>
      <c r="J2043" s="453"/>
      <c r="K2043" s="461"/>
      <c r="L2043" s="461"/>
      <c r="M2043" s="461"/>
      <c r="N2043" s="461"/>
      <c r="O2043" s="461"/>
      <c r="P2043" s="461"/>
      <c r="Q2043" s="461"/>
      <c r="R2043" s="461"/>
      <c r="S2043" s="461"/>
      <c r="T2043" s="461"/>
      <c r="U2043" s="461"/>
      <c r="V2043" s="461"/>
    </row>
    <row r="2044" spans="1:22" s="455" customFormat="1" hidden="1">
      <c r="A2044" s="455" t="str">
        <f t="shared" si="62"/>
        <v>T</v>
      </c>
      <c r="B2044" s="455">
        <f>VLOOKUP(LEFT($C$3:$C$2600,3),Table!$D$2:$E$88,2,FALSE)</f>
        <v>0</v>
      </c>
      <c r="C2044" s="455" t="str">
        <f t="shared" si="63"/>
        <v>T</v>
      </c>
      <c r="D2044" s="455" t="e">
        <f>VLOOKUP(G2044,Table!$G$3:$H$21,2,FALSE)</f>
        <v>#N/A</v>
      </c>
      <c r="E2044" s="452"/>
      <c r="F2044" s="452"/>
      <c r="G2044" s="452" t="s">
        <v>844</v>
      </c>
      <c r="H2044" s="452"/>
      <c r="I2044" s="453" t="s">
        <v>844</v>
      </c>
      <c r="J2044" s="453"/>
      <c r="K2044" s="461"/>
      <c r="L2044" s="461"/>
      <c r="M2044" s="461"/>
      <c r="N2044" s="461"/>
      <c r="O2044" s="461"/>
      <c r="P2044" s="461"/>
      <c r="Q2044" s="461"/>
      <c r="R2044" s="461"/>
      <c r="S2044" s="461"/>
      <c r="T2044" s="461"/>
      <c r="U2044" s="461"/>
      <c r="V2044" s="461"/>
    </row>
    <row r="2045" spans="1:22" s="455" customFormat="1" hidden="1">
      <c r="A2045" s="455" t="str">
        <f t="shared" si="62"/>
        <v>T</v>
      </c>
      <c r="B2045" s="455">
        <f>VLOOKUP(LEFT($C$3:$C$2600,3),Table!$D$2:$E$88,2,FALSE)</f>
        <v>0</v>
      </c>
      <c r="C2045" s="455" t="str">
        <f t="shared" si="63"/>
        <v>T</v>
      </c>
      <c r="D2045" s="455" t="e">
        <f>VLOOKUP(G2045,Table!$G$3:$H$21,2,FALSE)</f>
        <v>#N/A</v>
      </c>
      <c r="E2045" s="452"/>
      <c r="F2045" s="452"/>
      <c r="G2045" s="452" t="s">
        <v>844</v>
      </c>
      <c r="H2045" s="452"/>
      <c r="I2045" s="453" t="s">
        <v>844</v>
      </c>
      <c r="J2045" s="453"/>
      <c r="K2045" s="461"/>
      <c r="L2045" s="461"/>
      <c r="M2045" s="461"/>
      <c r="N2045" s="461"/>
      <c r="O2045" s="461"/>
      <c r="P2045" s="461"/>
      <c r="Q2045" s="461"/>
      <c r="R2045" s="461"/>
      <c r="S2045" s="465"/>
      <c r="T2045" s="461"/>
      <c r="U2045" s="461"/>
      <c r="V2045" s="461"/>
    </row>
    <row r="2046" spans="1:22" s="455" customFormat="1" hidden="1">
      <c r="A2046" s="455" t="str">
        <f t="shared" si="62"/>
        <v>T</v>
      </c>
      <c r="B2046" s="455">
        <f>VLOOKUP(LEFT($C$3:$C$2600,3),Table!$D$2:$E$88,2,FALSE)</f>
        <v>0</v>
      </c>
      <c r="C2046" s="455" t="str">
        <f t="shared" si="63"/>
        <v>T</v>
      </c>
      <c r="D2046" s="455" t="e">
        <f>VLOOKUP(G2046,Table!$G$3:$H$21,2,FALSE)</f>
        <v>#N/A</v>
      </c>
      <c r="E2046" s="452"/>
      <c r="F2046" s="452"/>
      <c r="G2046" s="452" t="s">
        <v>844</v>
      </c>
      <c r="H2046" s="452"/>
      <c r="I2046" s="453" t="s">
        <v>844</v>
      </c>
      <c r="J2046" s="453"/>
      <c r="K2046" s="461"/>
      <c r="L2046" s="461"/>
      <c r="M2046" s="461"/>
      <c r="N2046" s="461"/>
      <c r="O2046" s="461"/>
      <c r="P2046" s="461"/>
      <c r="Q2046" s="461"/>
      <c r="R2046" s="461"/>
      <c r="S2046" s="461"/>
      <c r="T2046" s="461"/>
      <c r="U2046" s="461"/>
      <c r="V2046" s="461"/>
    </row>
    <row r="2047" spans="1:22" s="455" customFormat="1" hidden="1">
      <c r="A2047" s="455" t="str">
        <f t="shared" si="62"/>
        <v>T</v>
      </c>
      <c r="B2047" s="455">
        <f>VLOOKUP(LEFT($C$3:$C$2600,3),Table!$D$2:$E$88,2,FALSE)</f>
        <v>0</v>
      </c>
      <c r="C2047" s="455" t="str">
        <f t="shared" si="63"/>
        <v>T</v>
      </c>
      <c r="D2047" s="455" t="e">
        <f>VLOOKUP(G2047,Table!$G$3:$H$21,2,FALSE)</f>
        <v>#N/A</v>
      </c>
      <c r="E2047" s="452"/>
      <c r="F2047" s="452"/>
      <c r="G2047" s="452" t="s">
        <v>844</v>
      </c>
      <c r="H2047" s="452"/>
      <c r="I2047" s="453" t="s">
        <v>844</v>
      </c>
      <c r="J2047" s="453"/>
      <c r="K2047" s="461"/>
      <c r="L2047" s="461"/>
      <c r="M2047" s="461"/>
      <c r="N2047" s="461"/>
      <c r="O2047" s="461"/>
      <c r="P2047" s="461"/>
      <c r="Q2047" s="461"/>
      <c r="R2047" s="461"/>
      <c r="S2047" s="461"/>
      <c r="T2047" s="461"/>
      <c r="U2047" s="461"/>
      <c r="V2047" s="461"/>
    </row>
    <row r="2048" spans="1:22" s="455" customFormat="1" hidden="1">
      <c r="A2048" s="455" t="str">
        <f t="shared" si="62"/>
        <v>T</v>
      </c>
      <c r="B2048" s="455">
        <f>VLOOKUP(LEFT($C$3:$C$2600,3),Table!$D$2:$E$88,2,FALSE)</f>
        <v>0</v>
      </c>
      <c r="C2048" s="455" t="str">
        <f t="shared" si="63"/>
        <v>T</v>
      </c>
      <c r="D2048" s="455" t="e">
        <f>VLOOKUP(G2048,Table!$G$3:$H$21,2,FALSE)</f>
        <v>#N/A</v>
      </c>
      <c r="E2048" s="452"/>
      <c r="F2048" s="452"/>
      <c r="G2048" s="452" t="s">
        <v>844</v>
      </c>
      <c r="H2048" s="452"/>
      <c r="I2048" s="453" t="s">
        <v>844</v>
      </c>
      <c r="J2048" s="453"/>
      <c r="K2048" s="461"/>
      <c r="L2048" s="461"/>
      <c r="M2048" s="461"/>
      <c r="N2048" s="461"/>
      <c r="O2048" s="461"/>
      <c r="P2048" s="461"/>
      <c r="Q2048" s="461"/>
      <c r="R2048" s="461"/>
      <c r="S2048" s="461"/>
      <c r="T2048" s="461"/>
      <c r="U2048" s="461"/>
      <c r="V2048" s="461"/>
    </row>
    <row r="2049" spans="1:22" s="455" customFormat="1" hidden="1">
      <c r="A2049" s="455" t="str">
        <f t="shared" si="62"/>
        <v>T</v>
      </c>
      <c r="B2049" s="455">
        <f>VLOOKUP(LEFT($C$3:$C$2600,3),Table!$D$2:$E$88,2,FALSE)</f>
        <v>0</v>
      </c>
      <c r="C2049" s="455" t="str">
        <f t="shared" si="63"/>
        <v>T</v>
      </c>
      <c r="D2049" s="455" t="e">
        <f>VLOOKUP(G2049,Table!$G$3:$H$21,2,FALSE)</f>
        <v>#N/A</v>
      </c>
      <c r="E2049" s="452"/>
      <c r="F2049" s="452"/>
      <c r="G2049" s="452" t="s">
        <v>844</v>
      </c>
      <c r="H2049" s="452"/>
      <c r="I2049" s="453" t="s">
        <v>844</v>
      </c>
      <c r="J2049" s="453"/>
      <c r="K2049" s="461"/>
      <c r="L2049" s="461"/>
      <c r="M2049" s="461"/>
      <c r="N2049" s="461"/>
      <c r="O2049" s="461"/>
      <c r="P2049" s="461"/>
      <c r="Q2049" s="461"/>
      <c r="R2049" s="461"/>
      <c r="S2049" s="461"/>
      <c r="T2049" s="461"/>
      <c r="U2049" s="461"/>
      <c r="V2049" s="461"/>
    </row>
    <row r="2050" spans="1:22" s="455" customFormat="1" hidden="1">
      <c r="A2050" s="455" t="str">
        <f t="shared" si="62"/>
        <v>T</v>
      </c>
      <c r="B2050" s="455">
        <f>VLOOKUP(LEFT($C$3:$C$2600,3),Table!$D$2:$E$88,2,FALSE)</f>
        <v>0</v>
      </c>
      <c r="C2050" s="455" t="str">
        <f t="shared" si="63"/>
        <v>T</v>
      </c>
      <c r="D2050" s="455" t="e">
        <f>VLOOKUP(G2050,Table!$G$3:$H$21,2,FALSE)</f>
        <v>#N/A</v>
      </c>
      <c r="E2050" s="452"/>
      <c r="F2050" s="452"/>
      <c r="G2050" s="452" t="s">
        <v>844</v>
      </c>
      <c r="H2050" s="452"/>
      <c r="I2050" s="453" t="s">
        <v>844</v>
      </c>
      <c r="J2050" s="453"/>
      <c r="K2050" s="461"/>
      <c r="L2050" s="461"/>
      <c r="M2050" s="461"/>
      <c r="N2050" s="461"/>
      <c r="O2050" s="461"/>
      <c r="P2050" s="461"/>
      <c r="Q2050" s="461"/>
      <c r="R2050" s="461"/>
      <c r="S2050" s="461"/>
      <c r="T2050" s="461"/>
      <c r="U2050" s="461"/>
      <c r="V2050" s="461"/>
    </row>
    <row r="2051" spans="1:22" s="455" customFormat="1" hidden="1">
      <c r="A2051" s="455" t="str">
        <f t="shared" si="62"/>
        <v>T</v>
      </c>
      <c r="B2051" s="455">
        <f>VLOOKUP(LEFT($C$3:$C$2600,3),Table!$D$2:$E$88,2,FALSE)</f>
        <v>0</v>
      </c>
      <c r="C2051" s="455" t="str">
        <f t="shared" si="63"/>
        <v>T</v>
      </c>
      <c r="D2051" s="455" t="e">
        <f>VLOOKUP(G2051,Table!$G$3:$H$21,2,FALSE)</f>
        <v>#N/A</v>
      </c>
      <c r="E2051" s="452"/>
      <c r="F2051" s="452"/>
      <c r="G2051" s="452" t="s">
        <v>844</v>
      </c>
      <c r="H2051" s="452"/>
      <c r="I2051" s="453" t="s">
        <v>844</v>
      </c>
      <c r="J2051" s="453"/>
      <c r="K2051" s="461"/>
      <c r="L2051" s="461"/>
      <c r="M2051" s="461"/>
      <c r="N2051" s="461"/>
      <c r="O2051" s="461"/>
      <c r="P2051" s="461"/>
      <c r="Q2051" s="461"/>
      <c r="R2051" s="461"/>
      <c r="S2051" s="465"/>
      <c r="T2051" s="465"/>
      <c r="U2051" s="465"/>
      <c r="V2051" s="465"/>
    </row>
    <row r="2052" spans="1:22" s="455" customFormat="1" hidden="1">
      <c r="A2052" s="455" t="str">
        <f t="shared" ref="A2052:A2091" si="64">F2052&amp;G2052</f>
        <v>T</v>
      </c>
      <c r="B2052" s="455">
        <f>VLOOKUP(LEFT($C$3:$C$2600,3),Table!$D$2:$E$88,2,FALSE)</f>
        <v>0</v>
      </c>
      <c r="C2052" s="455" t="str">
        <f t="shared" ref="C2052:C2091" si="65">IF(ISNA(D2052),G2052,D2052)</f>
        <v>T</v>
      </c>
      <c r="D2052" s="455" t="e">
        <f>VLOOKUP(G2052,Table!$G$3:$H$21,2,FALSE)</f>
        <v>#N/A</v>
      </c>
      <c r="E2052" s="452"/>
      <c r="F2052" s="452"/>
      <c r="G2052" s="452" t="s">
        <v>844</v>
      </c>
      <c r="H2052" s="452"/>
      <c r="I2052" s="453" t="s">
        <v>844</v>
      </c>
      <c r="J2052" s="453"/>
      <c r="K2052" s="461"/>
      <c r="L2052" s="461"/>
      <c r="M2052" s="461"/>
      <c r="N2052" s="461"/>
      <c r="O2052" s="461"/>
      <c r="P2052" s="461"/>
      <c r="Q2052" s="461"/>
      <c r="R2052" s="461"/>
      <c r="S2052" s="461"/>
      <c r="T2052" s="461"/>
      <c r="U2052" s="461"/>
      <c r="V2052" s="461"/>
    </row>
    <row r="2053" spans="1:22" s="455" customFormat="1" hidden="1">
      <c r="A2053" s="455" t="str">
        <f t="shared" si="64"/>
        <v>T</v>
      </c>
      <c r="B2053" s="455">
        <f>VLOOKUP(LEFT($C$3:$C$2600,3),Table!$D$2:$E$88,2,FALSE)</f>
        <v>0</v>
      </c>
      <c r="C2053" s="455" t="str">
        <f t="shared" si="65"/>
        <v>T</v>
      </c>
      <c r="D2053" s="455" t="e">
        <f>VLOOKUP(G2053,Table!$G$3:$H$21,2,FALSE)</f>
        <v>#N/A</v>
      </c>
      <c r="E2053" s="452"/>
      <c r="F2053" s="452"/>
      <c r="G2053" s="452" t="s">
        <v>844</v>
      </c>
      <c r="H2053" s="452"/>
      <c r="I2053" s="453" t="s">
        <v>844</v>
      </c>
      <c r="J2053" s="453"/>
      <c r="K2053" s="461"/>
      <c r="L2053" s="461"/>
      <c r="M2053" s="461"/>
      <c r="N2053" s="461"/>
      <c r="O2053" s="461"/>
      <c r="P2053" s="461"/>
      <c r="Q2053" s="461"/>
      <c r="R2053" s="461"/>
      <c r="S2053" s="461"/>
      <c r="T2053" s="461"/>
      <c r="U2053" s="461"/>
      <c r="V2053" s="461"/>
    </row>
    <row r="2054" spans="1:22" s="455" customFormat="1" hidden="1">
      <c r="A2054" s="455" t="str">
        <f t="shared" si="64"/>
        <v>T</v>
      </c>
      <c r="B2054" s="455">
        <f>VLOOKUP(LEFT($C$3:$C$2600,3),Table!$D$2:$E$88,2,FALSE)</f>
        <v>0</v>
      </c>
      <c r="C2054" s="455" t="str">
        <f t="shared" si="65"/>
        <v>T</v>
      </c>
      <c r="D2054" s="455" t="e">
        <f>VLOOKUP(G2054,Table!$G$3:$H$21,2,FALSE)</f>
        <v>#N/A</v>
      </c>
      <c r="E2054" s="452"/>
      <c r="F2054" s="452"/>
      <c r="G2054" s="452" t="s">
        <v>844</v>
      </c>
      <c r="H2054" s="452"/>
      <c r="I2054" s="453" t="s">
        <v>844</v>
      </c>
      <c r="J2054" s="453"/>
      <c r="K2054" s="461"/>
      <c r="L2054" s="461"/>
      <c r="M2054" s="461"/>
      <c r="N2054" s="461"/>
      <c r="O2054" s="461"/>
      <c r="P2054" s="461"/>
      <c r="Q2054" s="461"/>
      <c r="R2054" s="461"/>
      <c r="S2054" s="461"/>
      <c r="T2054" s="461"/>
      <c r="U2054" s="461"/>
      <c r="V2054" s="461"/>
    </row>
    <row r="2055" spans="1:22" s="455" customFormat="1" hidden="1">
      <c r="A2055" s="455" t="str">
        <f t="shared" si="64"/>
        <v>T</v>
      </c>
      <c r="B2055" s="455">
        <f>VLOOKUP(LEFT($C$3:$C$2600,3),Table!$D$2:$E$88,2,FALSE)</f>
        <v>0</v>
      </c>
      <c r="C2055" s="455" t="str">
        <f t="shared" si="65"/>
        <v>T</v>
      </c>
      <c r="D2055" s="455" t="e">
        <f>VLOOKUP(G2055,Table!$G$3:$H$21,2,FALSE)</f>
        <v>#N/A</v>
      </c>
      <c r="E2055" s="452"/>
      <c r="F2055" s="452"/>
      <c r="G2055" s="452" t="s">
        <v>844</v>
      </c>
      <c r="H2055" s="452"/>
      <c r="I2055" s="453" t="s">
        <v>844</v>
      </c>
      <c r="J2055" s="453"/>
      <c r="K2055" s="461"/>
      <c r="L2055" s="461"/>
      <c r="M2055" s="461"/>
      <c r="N2055" s="461"/>
      <c r="O2055" s="461"/>
      <c r="P2055" s="461"/>
      <c r="Q2055" s="461"/>
      <c r="R2055" s="461"/>
      <c r="S2055" s="461"/>
      <c r="T2055" s="461"/>
      <c r="U2055" s="461"/>
      <c r="V2055" s="461"/>
    </row>
    <row r="2056" spans="1:22" s="455" customFormat="1" hidden="1">
      <c r="A2056" s="455" t="str">
        <f t="shared" si="64"/>
        <v>T</v>
      </c>
      <c r="B2056" s="455">
        <f>VLOOKUP(LEFT($C$3:$C$2600,3),Table!$D$2:$E$88,2,FALSE)</f>
        <v>0</v>
      </c>
      <c r="C2056" s="455" t="str">
        <f t="shared" si="65"/>
        <v>T</v>
      </c>
      <c r="D2056" s="455" t="e">
        <f>VLOOKUP(G2056,Table!$G$3:$H$21,2,FALSE)</f>
        <v>#N/A</v>
      </c>
      <c r="E2056" s="452"/>
      <c r="F2056" s="452"/>
      <c r="G2056" s="452" t="s">
        <v>844</v>
      </c>
      <c r="H2056" s="452"/>
      <c r="I2056" s="453" t="s">
        <v>844</v>
      </c>
      <c r="J2056" s="453"/>
      <c r="K2056" s="461"/>
      <c r="L2056" s="461"/>
      <c r="M2056" s="461"/>
      <c r="N2056" s="461"/>
      <c r="O2056" s="461"/>
      <c r="P2056" s="461"/>
      <c r="Q2056" s="461"/>
      <c r="R2056" s="461"/>
      <c r="S2056" s="461"/>
      <c r="T2056" s="461"/>
      <c r="U2056" s="461"/>
      <c r="V2056" s="461"/>
    </row>
    <row r="2057" spans="1:22" s="455" customFormat="1" hidden="1">
      <c r="A2057" s="455" t="str">
        <f t="shared" si="64"/>
        <v>T</v>
      </c>
      <c r="B2057" s="455">
        <f>VLOOKUP(LEFT($C$3:$C$2600,3),Table!$D$2:$E$88,2,FALSE)</f>
        <v>0</v>
      </c>
      <c r="C2057" s="455" t="str">
        <f t="shared" si="65"/>
        <v>T</v>
      </c>
      <c r="D2057" s="455" t="e">
        <f>VLOOKUP(G2057,Table!$G$3:$H$21,2,FALSE)</f>
        <v>#N/A</v>
      </c>
      <c r="E2057" s="452"/>
      <c r="F2057" s="452"/>
      <c r="G2057" s="452" t="s">
        <v>844</v>
      </c>
      <c r="H2057" s="452"/>
      <c r="I2057" s="453" t="s">
        <v>844</v>
      </c>
      <c r="J2057" s="453"/>
      <c r="K2057" s="461"/>
      <c r="L2057" s="461"/>
      <c r="M2057" s="461"/>
      <c r="N2057" s="461"/>
      <c r="O2057" s="461"/>
      <c r="P2057" s="461"/>
      <c r="Q2057" s="461"/>
      <c r="R2057" s="461"/>
      <c r="S2057" s="461"/>
      <c r="T2057" s="461"/>
      <c r="U2057" s="461"/>
      <c r="V2057" s="461"/>
    </row>
    <row r="2058" spans="1:22" s="455" customFormat="1" hidden="1">
      <c r="A2058" s="455" t="str">
        <f t="shared" si="64"/>
        <v>T</v>
      </c>
      <c r="B2058" s="455">
        <f>VLOOKUP(LEFT($C$3:$C$2600,3),Table!$D$2:$E$88,2,FALSE)</f>
        <v>0</v>
      </c>
      <c r="C2058" s="455" t="str">
        <f t="shared" si="65"/>
        <v>T</v>
      </c>
      <c r="D2058" s="455" t="e">
        <f>VLOOKUP(G2058,Table!$G$3:$H$21,2,FALSE)</f>
        <v>#N/A</v>
      </c>
      <c r="E2058" s="452"/>
      <c r="F2058" s="452"/>
      <c r="G2058" s="452" t="s">
        <v>844</v>
      </c>
      <c r="H2058" s="452"/>
      <c r="I2058" s="453" t="s">
        <v>844</v>
      </c>
      <c r="J2058" s="453"/>
      <c r="K2058" s="461"/>
      <c r="L2058" s="461"/>
      <c r="M2058" s="461"/>
      <c r="N2058" s="461"/>
      <c r="O2058" s="461"/>
      <c r="P2058" s="461"/>
      <c r="Q2058" s="461"/>
      <c r="R2058" s="461"/>
      <c r="S2058" s="461"/>
      <c r="T2058" s="461"/>
      <c r="U2058" s="461"/>
      <c r="V2058" s="461"/>
    </row>
    <row r="2059" spans="1:22" s="455" customFormat="1" hidden="1">
      <c r="A2059" s="455" t="str">
        <f t="shared" si="64"/>
        <v>T</v>
      </c>
      <c r="B2059" s="455">
        <f>VLOOKUP(LEFT($C$3:$C$2600,3),Table!$D$2:$E$88,2,FALSE)</f>
        <v>0</v>
      </c>
      <c r="C2059" s="455" t="str">
        <f t="shared" si="65"/>
        <v>T</v>
      </c>
      <c r="D2059" s="455" t="e">
        <f>VLOOKUP(G2059,Table!$G$3:$H$21,2,FALSE)</f>
        <v>#N/A</v>
      </c>
      <c r="E2059" s="452"/>
      <c r="F2059" s="452"/>
      <c r="G2059" s="452" t="s">
        <v>844</v>
      </c>
      <c r="H2059" s="452"/>
      <c r="I2059" s="453" t="s">
        <v>844</v>
      </c>
      <c r="J2059" s="453"/>
      <c r="K2059" s="461"/>
      <c r="L2059" s="461"/>
      <c r="M2059" s="461"/>
      <c r="N2059" s="461"/>
      <c r="O2059" s="461"/>
      <c r="P2059" s="461"/>
      <c r="Q2059" s="461"/>
      <c r="R2059" s="461"/>
      <c r="S2059" s="461"/>
      <c r="T2059" s="461"/>
      <c r="U2059" s="461"/>
      <c r="V2059" s="461"/>
    </row>
    <row r="2060" spans="1:22" s="455" customFormat="1" hidden="1">
      <c r="A2060" s="455" t="str">
        <f t="shared" si="64"/>
        <v>T</v>
      </c>
      <c r="B2060" s="455">
        <f>VLOOKUP(LEFT($C$3:$C$2600,3),Table!$D$2:$E$88,2,FALSE)</f>
        <v>0</v>
      </c>
      <c r="C2060" s="455" t="str">
        <f t="shared" si="65"/>
        <v>T</v>
      </c>
      <c r="D2060" s="455" t="e">
        <f>VLOOKUP(G2060,Table!$G$3:$H$21,2,FALSE)</f>
        <v>#N/A</v>
      </c>
      <c r="E2060" s="452"/>
      <c r="F2060" s="452"/>
      <c r="G2060" s="452" t="s">
        <v>844</v>
      </c>
      <c r="H2060" s="452"/>
      <c r="I2060" s="453" t="s">
        <v>844</v>
      </c>
      <c r="J2060" s="453"/>
      <c r="K2060" s="461"/>
      <c r="L2060" s="461"/>
      <c r="M2060" s="461"/>
      <c r="N2060" s="461"/>
      <c r="O2060" s="461"/>
      <c r="P2060" s="461"/>
      <c r="Q2060" s="461"/>
      <c r="R2060" s="461"/>
      <c r="S2060" s="461"/>
      <c r="T2060" s="461"/>
      <c r="U2060" s="461"/>
      <c r="V2060" s="461"/>
    </row>
    <row r="2061" spans="1:22" s="455" customFormat="1" hidden="1">
      <c r="A2061" s="455" t="str">
        <f t="shared" si="64"/>
        <v>T</v>
      </c>
      <c r="B2061" s="455">
        <f>VLOOKUP(LEFT($C$3:$C$2600,3),Table!$D$2:$E$88,2,FALSE)</f>
        <v>0</v>
      </c>
      <c r="C2061" s="455" t="str">
        <f t="shared" si="65"/>
        <v>T</v>
      </c>
      <c r="D2061" s="455" t="e">
        <f>VLOOKUP(G2061,Table!$G$3:$H$21,2,FALSE)</f>
        <v>#N/A</v>
      </c>
      <c r="E2061" s="452"/>
      <c r="F2061" s="452"/>
      <c r="G2061" s="452" t="s">
        <v>844</v>
      </c>
      <c r="H2061" s="452"/>
      <c r="I2061" s="453" t="s">
        <v>844</v>
      </c>
      <c r="J2061" s="453"/>
      <c r="K2061" s="461"/>
      <c r="L2061" s="461"/>
      <c r="M2061" s="461"/>
      <c r="N2061" s="461"/>
      <c r="O2061" s="461"/>
      <c r="P2061" s="461"/>
      <c r="Q2061" s="461"/>
      <c r="R2061" s="461"/>
      <c r="S2061" s="461"/>
      <c r="T2061" s="461"/>
      <c r="U2061" s="461"/>
      <c r="V2061" s="461"/>
    </row>
    <row r="2062" spans="1:22" s="455" customFormat="1" hidden="1">
      <c r="A2062" s="455" t="str">
        <f t="shared" si="64"/>
        <v>T</v>
      </c>
      <c r="B2062" s="455">
        <f>VLOOKUP(LEFT($C$3:$C$2600,3),Table!$D$2:$E$88,2,FALSE)</f>
        <v>0</v>
      </c>
      <c r="C2062" s="455" t="str">
        <f t="shared" si="65"/>
        <v>T</v>
      </c>
      <c r="D2062" s="455" t="e">
        <f>VLOOKUP(G2062,Table!$G$3:$H$21,2,FALSE)</f>
        <v>#N/A</v>
      </c>
      <c r="E2062" s="452"/>
      <c r="F2062" s="452"/>
      <c r="G2062" s="452" t="s">
        <v>844</v>
      </c>
      <c r="H2062" s="452"/>
      <c r="I2062" s="453" t="s">
        <v>844</v>
      </c>
      <c r="J2062" s="453"/>
      <c r="K2062" s="461"/>
      <c r="L2062" s="461"/>
      <c r="M2062" s="461"/>
      <c r="N2062" s="461"/>
      <c r="O2062" s="461"/>
      <c r="P2062" s="461"/>
      <c r="Q2062" s="461"/>
      <c r="R2062" s="461"/>
      <c r="S2062" s="461"/>
      <c r="T2062" s="461"/>
      <c r="U2062" s="461"/>
      <c r="V2062" s="461"/>
    </row>
    <row r="2063" spans="1:22" s="455" customFormat="1" hidden="1">
      <c r="A2063" s="455" t="str">
        <f t="shared" si="64"/>
        <v>T</v>
      </c>
      <c r="B2063" s="455">
        <f>VLOOKUP(LEFT($C$3:$C$2600,3),Table!$D$2:$E$88,2,FALSE)</f>
        <v>0</v>
      </c>
      <c r="C2063" s="455" t="str">
        <f t="shared" si="65"/>
        <v>T</v>
      </c>
      <c r="D2063" s="455" t="e">
        <f>VLOOKUP(G2063,Table!$G$3:$H$21,2,FALSE)</f>
        <v>#N/A</v>
      </c>
      <c r="E2063" s="452"/>
      <c r="F2063" s="452"/>
      <c r="G2063" s="452" t="s">
        <v>844</v>
      </c>
      <c r="H2063" s="452"/>
      <c r="I2063" s="453" t="s">
        <v>844</v>
      </c>
      <c r="J2063" s="453"/>
      <c r="K2063" s="461"/>
      <c r="L2063" s="461"/>
      <c r="M2063" s="461"/>
      <c r="N2063" s="461"/>
      <c r="O2063" s="461"/>
      <c r="P2063" s="461"/>
      <c r="Q2063" s="461"/>
      <c r="R2063" s="461"/>
      <c r="S2063" s="461"/>
      <c r="T2063" s="461"/>
      <c r="U2063" s="461"/>
      <c r="V2063" s="461"/>
    </row>
    <row r="2064" spans="1:22" s="455" customFormat="1" hidden="1">
      <c r="A2064" s="455" t="str">
        <f t="shared" si="64"/>
        <v>T</v>
      </c>
      <c r="B2064" s="455">
        <f>VLOOKUP(LEFT($C$3:$C$2600,3),Table!$D$2:$E$88,2,FALSE)</f>
        <v>0</v>
      </c>
      <c r="C2064" s="455" t="str">
        <f t="shared" si="65"/>
        <v>T</v>
      </c>
      <c r="D2064" s="455" t="e">
        <f>VLOOKUP(G2064,Table!$G$3:$H$21,2,FALSE)</f>
        <v>#N/A</v>
      </c>
      <c r="E2064" s="452"/>
      <c r="F2064" s="452"/>
      <c r="G2064" s="452" t="s">
        <v>844</v>
      </c>
      <c r="H2064" s="452"/>
      <c r="I2064" s="453" t="s">
        <v>844</v>
      </c>
      <c r="J2064" s="453"/>
      <c r="K2064" s="461"/>
      <c r="L2064" s="461"/>
      <c r="M2064" s="461"/>
      <c r="N2064" s="461"/>
      <c r="O2064" s="461"/>
      <c r="P2064" s="461"/>
      <c r="Q2064" s="461"/>
      <c r="R2064" s="461"/>
      <c r="S2064" s="461"/>
      <c r="T2064" s="461"/>
      <c r="U2064" s="461"/>
      <c r="V2064" s="461"/>
    </row>
    <row r="2065" spans="1:22" s="455" customFormat="1" hidden="1">
      <c r="A2065" s="455" t="str">
        <f t="shared" si="64"/>
        <v>T</v>
      </c>
      <c r="B2065" s="455">
        <f>VLOOKUP(LEFT($C$3:$C$2600,3),Table!$D$2:$E$88,2,FALSE)</f>
        <v>0</v>
      </c>
      <c r="C2065" s="455" t="str">
        <f t="shared" si="65"/>
        <v>T</v>
      </c>
      <c r="D2065" s="455" t="e">
        <f>VLOOKUP(G2065,Table!$G$3:$H$21,2,FALSE)</f>
        <v>#N/A</v>
      </c>
      <c r="E2065" s="452"/>
      <c r="F2065" s="452"/>
      <c r="G2065" s="452" t="s">
        <v>844</v>
      </c>
      <c r="H2065" s="452"/>
      <c r="I2065" s="453" t="s">
        <v>844</v>
      </c>
      <c r="J2065" s="453"/>
      <c r="K2065" s="461"/>
      <c r="L2065" s="461"/>
      <c r="M2065" s="461"/>
      <c r="N2065" s="461"/>
      <c r="O2065" s="461"/>
      <c r="P2065" s="461"/>
      <c r="Q2065" s="461"/>
      <c r="R2065" s="461"/>
      <c r="S2065" s="461"/>
      <c r="T2065" s="461"/>
      <c r="U2065" s="461"/>
      <c r="V2065" s="461"/>
    </row>
    <row r="2066" spans="1:22" s="455" customFormat="1" hidden="1">
      <c r="A2066" s="455" t="str">
        <f t="shared" si="64"/>
        <v>T</v>
      </c>
      <c r="B2066" s="455">
        <f>VLOOKUP(LEFT($C$3:$C$2600,3),Table!$D$2:$E$88,2,FALSE)</f>
        <v>0</v>
      </c>
      <c r="C2066" s="455" t="str">
        <f t="shared" si="65"/>
        <v>T</v>
      </c>
      <c r="D2066" s="455" t="e">
        <f>VLOOKUP(G2066,Table!$G$3:$H$21,2,FALSE)</f>
        <v>#N/A</v>
      </c>
      <c r="E2066" s="452"/>
      <c r="F2066" s="452"/>
      <c r="G2066" s="452" t="s">
        <v>844</v>
      </c>
      <c r="H2066" s="452"/>
      <c r="I2066" s="453" t="s">
        <v>844</v>
      </c>
      <c r="J2066" s="453"/>
      <c r="K2066" s="461"/>
      <c r="L2066" s="461"/>
      <c r="M2066" s="461"/>
      <c r="N2066" s="461"/>
      <c r="O2066" s="461"/>
      <c r="P2066" s="461"/>
      <c r="Q2066" s="461"/>
      <c r="R2066" s="461"/>
      <c r="S2066" s="461"/>
      <c r="T2066" s="461"/>
      <c r="U2066" s="461"/>
      <c r="V2066" s="461"/>
    </row>
    <row r="2067" spans="1:22" s="455" customFormat="1" hidden="1">
      <c r="A2067" s="455" t="str">
        <f t="shared" si="64"/>
        <v>T</v>
      </c>
      <c r="B2067" s="455">
        <f>VLOOKUP(LEFT($C$3:$C$2600,3),Table!$D$2:$E$88,2,FALSE)</f>
        <v>0</v>
      </c>
      <c r="C2067" s="455" t="str">
        <f t="shared" si="65"/>
        <v>T</v>
      </c>
      <c r="D2067" s="455" t="e">
        <f>VLOOKUP(G2067,Table!$G$3:$H$21,2,FALSE)</f>
        <v>#N/A</v>
      </c>
      <c r="E2067" s="452"/>
      <c r="F2067" s="452"/>
      <c r="G2067" s="452" t="s">
        <v>844</v>
      </c>
      <c r="H2067" s="452"/>
      <c r="I2067" s="453" t="s">
        <v>844</v>
      </c>
      <c r="J2067" s="453"/>
      <c r="K2067" s="461"/>
      <c r="L2067" s="461"/>
      <c r="M2067" s="461"/>
      <c r="N2067" s="461"/>
      <c r="O2067" s="461"/>
      <c r="P2067" s="461"/>
      <c r="Q2067" s="461"/>
      <c r="R2067" s="461"/>
      <c r="S2067" s="461"/>
      <c r="T2067" s="461"/>
      <c r="U2067" s="461"/>
      <c r="V2067" s="461"/>
    </row>
    <row r="2068" spans="1:22" s="455" customFormat="1" hidden="1">
      <c r="A2068" s="455" t="str">
        <f t="shared" si="64"/>
        <v>T</v>
      </c>
      <c r="B2068" s="455">
        <f>VLOOKUP(LEFT($C$3:$C$2600,3),Table!$D$2:$E$88,2,FALSE)</f>
        <v>0</v>
      </c>
      <c r="C2068" s="455" t="str">
        <f t="shared" si="65"/>
        <v>T</v>
      </c>
      <c r="D2068" s="455" t="e">
        <f>VLOOKUP(G2068,Table!$G$3:$H$21,2,FALSE)</f>
        <v>#N/A</v>
      </c>
      <c r="E2068" s="452"/>
      <c r="F2068" s="452"/>
      <c r="G2068" s="452" t="s">
        <v>844</v>
      </c>
      <c r="H2068" s="452"/>
      <c r="I2068" s="453" t="s">
        <v>844</v>
      </c>
      <c r="J2068" s="453"/>
      <c r="K2068" s="461"/>
      <c r="L2068" s="461"/>
      <c r="M2068" s="461"/>
      <c r="N2068" s="461"/>
      <c r="O2068" s="461"/>
      <c r="P2068" s="461"/>
      <c r="Q2068" s="461"/>
      <c r="R2068" s="461"/>
      <c r="S2068" s="461"/>
      <c r="T2068" s="461"/>
      <c r="U2068" s="461"/>
      <c r="V2068" s="461"/>
    </row>
    <row r="2069" spans="1:22" s="455" customFormat="1" hidden="1">
      <c r="A2069" s="455" t="str">
        <f t="shared" si="64"/>
        <v>T</v>
      </c>
      <c r="B2069" s="455">
        <f>VLOOKUP(LEFT($C$3:$C$2600,3),Table!$D$2:$E$88,2,FALSE)</f>
        <v>0</v>
      </c>
      <c r="C2069" s="455" t="str">
        <f t="shared" si="65"/>
        <v>T</v>
      </c>
      <c r="D2069" s="455" t="e">
        <f>VLOOKUP(G2069,Table!$G$3:$H$21,2,FALSE)</f>
        <v>#N/A</v>
      </c>
      <c r="E2069" s="452"/>
      <c r="F2069" s="452"/>
      <c r="G2069" s="452" t="s">
        <v>844</v>
      </c>
      <c r="H2069" s="452"/>
      <c r="I2069" s="453" t="s">
        <v>844</v>
      </c>
      <c r="J2069" s="453"/>
      <c r="K2069" s="461"/>
      <c r="L2069" s="461"/>
      <c r="M2069" s="461"/>
      <c r="N2069" s="461"/>
      <c r="O2069" s="461"/>
      <c r="P2069" s="461"/>
      <c r="Q2069" s="461"/>
      <c r="R2069" s="461"/>
      <c r="S2069" s="461"/>
      <c r="T2069" s="461"/>
      <c r="U2069" s="461"/>
      <c r="V2069" s="461"/>
    </row>
    <row r="2070" spans="1:22" s="455" customFormat="1" hidden="1">
      <c r="A2070" s="455" t="str">
        <f t="shared" si="64"/>
        <v>T</v>
      </c>
      <c r="B2070" s="455">
        <f>VLOOKUP(LEFT($C$3:$C$2600,3),Table!$D$2:$E$88,2,FALSE)</f>
        <v>0</v>
      </c>
      <c r="C2070" s="455" t="str">
        <f t="shared" si="65"/>
        <v>T</v>
      </c>
      <c r="D2070" s="455" t="e">
        <f>VLOOKUP(G2070,Table!$G$3:$H$21,2,FALSE)</f>
        <v>#N/A</v>
      </c>
      <c r="E2070" s="452"/>
      <c r="F2070" s="452"/>
      <c r="G2070" s="452" t="s">
        <v>844</v>
      </c>
      <c r="H2070" s="452"/>
      <c r="I2070" s="453" t="s">
        <v>844</v>
      </c>
      <c r="J2070" s="453"/>
      <c r="K2070" s="461"/>
      <c r="L2070" s="461"/>
      <c r="M2070" s="461"/>
      <c r="N2070" s="461"/>
      <c r="O2070" s="461"/>
      <c r="P2070" s="461"/>
      <c r="Q2070" s="461"/>
      <c r="R2070" s="461"/>
      <c r="S2070" s="461"/>
      <c r="T2070" s="461"/>
      <c r="U2070" s="461"/>
      <c r="V2070" s="461"/>
    </row>
    <row r="2071" spans="1:22" s="455" customFormat="1" hidden="1">
      <c r="A2071" s="455" t="str">
        <f t="shared" si="64"/>
        <v>T</v>
      </c>
      <c r="B2071" s="455">
        <f>VLOOKUP(LEFT($C$3:$C$2600,3),Table!$D$2:$E$88,2,FALSE)</f>
        <v>0</v>
      </c>
      <c r="C2071" s="455" t="str">
        <f t="shared" si="65"/>
        <v>T</v>
      </c>
      <c r="D2071" s="455" t="e">
        <f>VLOOKUP(G2071,Table!$G$3:$H$21,2,FALSE)</f>
        <v>#N/A</v>
      </c>
      <c r="E2071" s="452"/>
      <c r="F2071" s="452"/>
      <c r="G2071" s="452" t="s">
        <v>844</v>
      </c>
      <c r="H2071" s="452"/>
      <c r="I2071" s="453" t="s">
        <v>844</v>
      </c>
      <c r="J2071" s="453"/>
      <c r="K2071" s="461"/>
      <c r="L2071" s="461"/>
      <c r="M2071" s="461"/>
      <c r="N2071" s="461"/>
      <c r="O2071" s="461"/>
      <c r="P2071" s="461"/>
      <c r="Q2071" s="461"/>
      <c r="R2071" s="461"/>
      <c r="S2071" s="461"/>
      <c r="T2071" s="461"/>
      <c r="U2071" s="461"/>
      <c r="V2071" s="461"/>
    </row>
    <row r="2072" spans="1:22" s="455" customFormat="1" hidden="1">
      <c r="A2072" s="455" t="str">
        <f t="shared" si="64"/>
        <v>T</v>
      </c>
      <c r="B2072" s="455">
        <f>VLOOKUP(LEFT($C$3:$C$2600,3),Table!$D$2:$E$88,2,FALSE)</f>
        <v>0</v>
      </c>
      <c r="C2072" s="455" t="str">
        <f t="shared" si="65"/>
        <v>T</v>
      </c>
      <c r="D2072" s="455" t="e">
        <f>VLOOKUP(G2072,Table!$G$3:$H$21,2,FALSE)</f>
        <v>#N/A</v>
      </c>
      <c r="E2072" s="452"/>
      <c r="F2072" s="452"/>
      <c r="G2072" s="452" t="s">
        <v>844</v>
      </c>
      <c r="H2072" s="452"/>
      <c r="I2072" s="453" t="s">
        <v>844</v>
      </c>
      <c r="J2072" s="453"/>
      <c r="K2072" s="461"/>
      <c r="L2072" s="461"/>
      <c r="M2072" s="461"/>
      <c r="N2072" s="461"/>
      <c r="O2072" s="461"/>
      <c r="P2072" s="461"/>
      <c r="Q2072" s="461"/>
      <c r="R2072" s="461"/>
      <c r="S2072" s="461"/>
      <c r="T2072" s="461"/>
      <c r="U2072" s="461"/>
      <c r="V2072" s="461"/>
    </row>
    <row r="2073" spans="1:22" s="455" customFormat="1" hidden="1">
      <c r="A2073" s="455" t="str">
        <f t="shared" si="64"/>
        <v>T</v>
      </c>
      <c r="B2073" s="455">
        <f>VLOOKUP(LEFT($C$3:$C$2600,3),Table!$D$2:$E$88,2,FALSE)</f>
        <v>0</v>
      </c>
      <c r="C2073" s="455" t="str">
        <f t="shared" si="65"/>
        <v>T</v>
      </c>
      <c r="D2073" s="455" t="e">
        <f>VLOOKUP(G2073,Table!$G$3:$H$21,2,FALSE)</f>
        <v>#N/A</v>
      </c>
      <c r="E2073" s="452"/>
      <c r="F2073" s="452"/>
      <c r="G2073" s="452" t="s">
        <v>844</v>
      </c>
      <c r="H2073" s="452"/>
      <c r="I2073" s="453" t="s">
        <v>844</v>
      </c>
      <c r="J2073" s="453"/>
      <c r="K2073" s="461"/>
      <c r="L2073" s="461"/>
      <c r="M2073" s="461"/>
      <c r="N2073" s="461"/>
      <c r="O2073" s="461"/>
      <c r="P2073" s="461"/>
      <c r="Q2073" s="461"/>
      <c r="R2073" s="461"/>
      <c r="S2073" s="461"/>
      <c r="T2073" s="461"/>
      <c r="U2073" s="461"/>
      <c r="V2073" s="461"/>
    </row>
    <row r="2074" spans="1:22" s="455" customFormat="1" hidden="1">
      <c r="A2074" s="455" t="str">
        <f t="shared" si="64"/>
        <v>T</v>
      </c>
      <c r="B2074" s="455">
        <f>VLOOKUP(LEFT($C$3:$C$2600,3),Table!$D$2:$E$88,2,FALSE)</f>
        <v>0</v>
      </c>
      <c r="C2074" s="455" t="str">
        <f t="shared" si="65"/>
        <v>T</v>
      </c>
      <c r="D2074" s="455" t="e">
        <f>VLOOKUP(G2074,Table!$G$3:$H$21,2,FALSE)</f>
        <v>#N/A</v>
      </c>
      <c r="E2074" s="452"/>
      <c r="F2074" s="452"/>
      <c r="G2074" s="452" t="s">
        <v>844</v>
      </c>
      <c r="H2074" s="452"/>
      <c r="I2074" s="453" t="s">
        <v>844</v>
      </c>
      <c r="J2074" s="453"/>
      <c r="K2074" s="461"/>
      <c r="L2074" s="461"/>
      <c r="M2074" s="461"/>
      <c r="N2074" s="461"/>
      <c r="O2074" s="461"/>
      <c r="P2074" s="461"/>
      <c r="Q2074" s="461"/>
      <c r="R2074" s="461"/>
      <c r="S2074" s="461"/>
      <c r="T2074" s="461"/>
      <c r="U2074" s="461"/>
      <c r="V2074" s="461"/>
    </row>
    <row r="2075" spans="1:22" s="455" customFormat="1" hidden="1">
      <c r="A2075" s="455" t="str">
        <f t="shared" si="64"/>
        <v>T</v>
      </c>
      <c r="B2075" s="455">
        <f>VLOOKUP(LEFT($C$3:$C$2600,3),Table!$D$2:$E$88,2,FALSE)</f>
        <v>0</v>
      </c>
      <c r="C2075" s="455" t="str">
        <f t="shared" si="65"/>
        <v>T</v>
      </c>
      <c r="D2075" s="455" t="e">
        <f>VLOOKUP(G2075,Table!$G$3:$H$21,2,FALSE)</f>
        <v>#N/A</v>
      </c>
      <c r="E2075" s="452"/>
      <c r="F2075" s="452"/>
      <c r="G2075" s="452" t="s">
        <v>844</v>
      </c>
      <c r="H2075" s="452"/>
      <c r="I2075" s="453" t="s">
        <v>844</v>
      </c>
      <c r="J2075" s="453"/>
      <c r="K2075" s="461"/>
      <c r="L2075" s="461"/>
      <c r="M2075" s="461"/>
      <c r="N2075" s="461"/>
      <c r="O2075" s="461"/>
      <c r="P2075" s="461"/>
      <c r="Q2075" s="461"/>
      <c r="R2075" s="461"/>
      <c r="S2075" s="461"/>
      <c r="T2075" s="461"/>
      <c r="U2075" s="461"/>
      <c r="V2075" s="461"/>
    </row>
    <row r="2076" spans="1:22" s="455" customFormat="1" hidden="1">
      <c r="A2076" s="455" t="str">
        <f t="shared" si="64"/>
        <v>T</v>
      </c>
      <c r="B2076" s="455">
        <f>VLOOKUP(LEFT($C$3:$C$2600,3),Table!$D$2:$E$88,2,FALSE)</f>
        <v>0</v>
      </c>
      <c r="C2076" s="455" t="str">
        <f t="shared" si="65"/>
        <v>T</v>
      </c>
      <c r="D2076" s="455" t="e">
        <f>VLOOKUP(G2076,Table!$G$3:$H$21,2,FALSE)</f>
        <v>#N/A</v>
      </c>
      <c r="E2076" s="452"/>
      <c r="F2076" s="452"/>
      <c r="G2076" s="452" t="s">
        <v>844</v>
      </c>
      <c r="H2076" s="452"/>
      <c r="I2076" s="453" t="s">
        <v>844</v>
      </c>
      <c r="J2076" s="453"/>
      <c r="K2076" s="461"/>
      <c r="L2076" s="461"/>
      <c r="M2076" s="461"/>
      <c r="N2076" s="461"/>
      <c r="O2076" s="461"/>
      <c r="P2076" s="461"/>
      <c r="Q2076" s="461"/>
      <c r="R2076" s="461"/>
      <c r="S2076" s="461"/>
      <c r="T2076" s="461"/>
      <c r="U2076" s="461"/>
      <c r="V2076" s="461"/>
    </row>
    <row r="2077" spans="1:22" s="455" customFormat="1" hidden="1">
      <c r="A2077" s="455" t="str">
        <f t="shared" si="64"/>
        <v>T</v>
      </c>
      <c r="B2077" s="455">
        <f>VLOOKUP(LEFT($C$3:$C$2600,3),Table!$D$2:$E$88,2,FALSE)</f>
        <v>0</v>
      </c>
      <c r="C2077" s="455" t="str">
        <f t="shared" si="65"/>
        <v>T</v>
      </c>
      <c r="D2077" s="455" t="e">
        <f>VLOOKUP(G2077,Table!$G$3:$H$21,2,FALSE)</f>
        <v>#N/A</v>
      </c>
      <c r="E2077" s="452"/>
      <c r="F2077" s="452"/>
      <c r="G2077" s="452" t="s">
        <v>844</v>
      </c>
      <c r="H2077" s="452"/>
      <c r="I2077" s="453" t="s">
        <v>844</v>
      </c>
      <c r="J2077" s="453"/>
      <c r="K2077" s="461"/>
      <c r="L2077" s="461"/>
      <c r="M2077" s="461"/>
      <c r="N2077" s="461"/>
      <c r="O2077" s="461"/>
      <c r="P2077" s="461"/>
      <c r="Q2077" s="461"/>
      <c r="R2077" s="461"/>
      <c r="S2077" s="461"/>
      <c r="T2077" s="461"/>
      <c r="U2077" s="461"/>
      <c r="V2077" s="461"/>
    </row>
    <row r="2078" spans="1:22" s="455" customFormat="1" hidden="1">
      <c r="A2078" s="455" t="str">
        <f t="shared" si="64"/>
        <v>T</v>
      </c>
      <c r="B2078" s="455">
        <f>VLOOKUP(LEFT($C$3:$C$2600,3),Table!$D$2:$E$88,2,FALSE)</f>
        <v>0</v>
      </c>
      <c r="C2078" s="455" t="str">
        <f t="shared" si="65"/>
        <v>T</v>
      </c>
      <c r="D2078" s="455" t="e">
        <f>VLOOKUP(G2078,Table!$G$3:$H$21,2,FALSE)</f>
        <v>#N/A</v>
      </c>
      <c r="E2078" s="452"/>
      <c r="F2078" s="452"/>
      <c r="G2078" s="452" t="s">
        <v>844</v>
      </c>
      <c r="H2078" s="452"/>
      <c r="I2078" s="453" t="s">
        <v>844</v>
      </c>
      <c r="J2078" s="453"/>
      <c r="K2078" s="461"/>
      <c r="L2078" s="461"/>
      <c r="M2078" s="461"/>
      <c r="N2078" s="461"/>
      <c r="O2078" s="461"/>
      <c r="P2078" s="461"/>
      <c r="Q2078" s="461"/>
      <c r="R2078" s="461"/>
      <c r="S2078" s="461"/>
      <c r="T2078" s="461"/>
      <c r="U2078" s="461"/>
      <c r="V2078" s="461"/>
    </row>
    <row r="2079" spans="1:22" s="455" customFormat="1" hidden="1">
      <c r="A2079" s="455" t="str">
        <f t="shared" si="64"/>
        <v>T</v>
      </c>
      <c r="B2079" s="455">
        <f>VLOOKUP(LEFT($C$3:$C$2600,3),Table!$D$2:$E$88,2,FALSE)</f>
        <v>0</v>
      </c>
      <c r="C2079" s="455" t="str">
        <f t="shared" si="65"/>
        <v>T</v>
      </c>
      <c r="D2079" s="455" t="e">
        <f>VLOOKUP(G2079,Table!$G$3:$H$21,2,FALSE)</f>
        <v>#N/A</v>
      </c>
      <c r="E2079" s="452"/>
      <c r="F2079" s="452"/>
      <c r="G2079" s="452" t="s">
        <v>844</v>
      </c>
      <c r="H2079" s="452"/>
      <c r="I2079" s="453" t="s">
        <v>844</v>
      </c>
      <c r="J2079" s="453"/>
      <c r="K2079" s="461"/>
      <c r="L2079" s="461"/>
      <c r="M2079" s="461"/>
      <c r="N2079" s="461"/>
      <c r="O2079" s="461"/>
      <c r="P2079" s="461"/>
      <c r="Q2079" s="461"/>
      <c r="R2079" s="461"/>
      <c r="S2079" s="461"/>
      <c r="T2079" s="461"/>
      <c r="U2079" s="461"/>
      <c r="V2079" s="461"/>
    </row>
    <row r="2080" spans="1:22" s="455" customFormat="1" hidden="1">
      <c r="A2080" s="455" t="str">
        <f t="shared" si="64"/>
        <v>T</v>
      </c>
      <c r="B2080" s="455">
        <f>VLOOKUP(LEFT($C$3:$C$2600,3),Table!$D$2:$E$88,2,FALSE)</f>
        <v>0</v>
      </c>
      <c r="C2080" s="455" t="str">
        <f t="shared" si="65"/>
        <v>T</v>
      </c>
      <c r="D2080" s="455" t="e">
        <f>VLOOKUP(G2080,Table!$G$3:$H$21,2,FALSE)</f>
        <v>#N/A</v>
      </c>
      <c r="E2080" s="452"/>
      <c r="F2080" s="452"/>
      <c r="G2080" s="452" t="s">
        <v>844</v>
      </c>
      <c r="H2080" s="452"/>
      <c r="I2080" s="453" t="s">
        <v>844</v>
      </c>
      <c r="J2080" s="453"/>
      <c r="K2080" s="461"/>
      <c r="L2080" s="461"/>
      <c r="M2080" s="461"/>
      <c r="N2080" s="461"/>
      <c r="O2080" s="461"/>
      <c r="P2080" s="461"/>
      <c r="Q2080" s="461"/>
      <c r="R2080" s="461"/>
      <c r="S2080" s="461"/>
      <c r="T2080" s="461"/>
      <c r="U2080" s="461"/>
      <c r="V2080" s="461"/>
    </row>
    <row r="2081" spans="1:22" s="455" customFormat="1" hidden="1">
      <c r="A2081" s="455" t="str">
        <f t="shared" si="64"/>
        <v>T</v>
      </c>
      <c r="B2081" s="455">
        <f>VLOOKUP(LEFT($C$3:$C$2600,3),Table!$D$2:$E$88,2,FALSE)</f>
        <v>0</v>
      </c>
      <c r="C2081" s="455" t="str">
        <f t="shared" si="65"/>
        <v>T</v>
      </c>
      <c r="D2081" s="455" t="e">
        <f>VLOOKUP(G2081,Table!$G$3:$H$21,2,FALSE)</f>
        <v>#N/A</v>
      </c>
      <c r="E2081" s="452"/>
      <c r="F2081" s="452"/>
      <c r="G2081" s="452" t="s">
        <v>844</v>
      </c>
      <c r="H2081" s="452"/>
      <c r="I2081" s="453" t="s">
        <v>844</v>
      </c>
      <c r="J2081" s="453"/>
      <c r="K2081" s="461"/>
      <c r="L2081" s="461"/>
      <c r="M2081" s="461"/>
      <c r="N2081" s="461"/>
      <c r="O2081" s="461"/>
      <c r="P2081" s="461"/>
      <c r="Q2081" s="461"/>
      <c r="R2081" s="461"/>
      <c r="S2081" s="461"/>
      <c r="T2081" s="461"/>
      <c r="U2081" s="461"/>
      <c r="V2081" s="461"/>
    </row>
    <row r="2082" spans="1:22" s="455" customFormat="1" hidden="1">
      <c r="A2082" s="455" t="str">
        <f t="shared" si="64"/>
        <v>T</v>
      </c>
      <c r="B2082" s="455">
        <f>VLOOKUP(LEFT($C$3:$C$2600,3),Table!$D$2:$E$88,2,FALSE)</f>
        <v>0</v>
      </c>
      <c r="C2082" s="455" t="str">
        <f t="shared" si="65"/>
        <v>T</v>
      </c>
      <c r="D2082" s="455" t="e">
        <f>VLOOKUP(G2082,Table!$G$3:$H$21,2,FALSE)</f>
        <v>#N/A</v>
      </c>
      <c r="E2082" s="452"/>
      <c r="F2082" s="452"/>
      <c r="G2082" s="452" t="s">
        <v>844</v>
      </c>
      <c r="H2082" s="452"/>
      <c r="I2082" s="453" t="s">
        <v>844</v>
      </c>
      <c r="J2082" s="453"/>
      <c r="K2082" s="461"/>
      <c r="L2082" s="461"/>
      <c r="M2082" s="461"/>
      <c r="N2082" s="461"/>
      <c r="O2082" s="461"/>
      <c r="P2082" s="461"/>
      <c r="Q2082" s="461"/>
      <c r="R2082" s="461"/>
      <c r="S2082" s="461"/>
      <c r="T2082" s="461"/>
      <c r="U2082" s="461"/>
      <c r="V2082" s="461"/>
    </row>
    <row r="2083" spans="1:22" s="455" customFormat="1" hidden="1">
      <c r="A2083" s="455" t="str">
        <f t="shared" si="64"/>
        <v>T</v>
      </c>
      <c r="B2083" s="455">
        <f>VLOOKUP(LEFT($C$3:$C$2600,3),Table!$D$2:$E$88,2,FALSE)</f>
        <v>0</v>
      </c>
      <c r="C2083" s="455" t="str">
        <f t="shared" si="65"/>
        <v>T</v>
      </c>
      <c r="D2083" s="455" t="e">
        <f>VLOOKUP(G2083,Table!$G$3:$H$21,2,FALSE)</f>
        <v>#N/A</v>
      </c>
      <c r="E2083" s="452"/>
      <c r="F2083" s="452"/>
      <c r="G2083" s="452" t="s">
        <v>844</v>
      </c>
      <c r="H2083" s="452"/>
      <c r="I2083" s="453" t="s">
        <v>844</v>
      </c>
      <c r="J2083" s="453"/>
      <c r="K2083" s="461"/>
      <c r="L2083" s="461"/>
      <c r="M2083" s="461"/>
      <c r="N2083" s="461"/>
      <c r="O2083" s="461"/>
      <c r="P2083" s="461"/>
      <c r="Q2083" s="461"/>
      <c r="R2083" s="461"/>
      <c r="S2083" s="461"/>
      <c r="T2083" s="461"/>
      <c r="U2083" s="461"/>
      <c r="V2083" s="461"/>
    </row>
    <row r="2084" spans="1:22" s="455" customFormat="1" hidden="1">
      <c r="A2084" s="455" t="str">
        <f t="shared" si="64"/>
        <v>T</v>
      </c>
      <c r="B2084" s="455">
        <f>VLOOKUP(LEFT($C$3:$C$2600,3),Table!$D$2:$E$88,2,FALSE)</f>
        <v>0</v>
      </c>
      <c r="C2084" s="455" t="str">
        <f t="shared" si="65"/>
        <v>T</v>
      </c>
      <c r="D2084" s="455" t="e">
        <f>VLOOKUP(G2084,Table!$G$3:$H$21,2,FALSE)</f>
        <v>#N/A</v>
      </c>
      <c r="E2084" s="452"/>
      <c r="F2084" s="452"/>
      <c r="G2084" s="452" t="s">
        <v>844</v>
      </c>
      <c r="H2084" s="452"/>
      <c r="I2084" s="453" t="s">
        <v>844</v>
      </c>
      <c r="J2084" s="453"/>
      <c r="K2084" s="461"/>
      <c r="L2084" s="461"/>
      <c r="M2084" s="461"/>
      <c r="N2084" s="461"/>
      <c r="O2084" s="461"/>
      <c r="P2084" s="461"/>
      <c r="Q2084" s="461"/>
      <c r="R2084" s="461"/>
      <c r="S2084" s="461"/>
      <c r="T2084" s="461"/>
      <c r="U2084" s="461"/>
      <c r="V2084" s="461"/>
    </row>
    <row r="2085" spans="1:22" s="455" customFormat="1" hidden="1">
      <c r="A2085" s="455" t="str">
        <f t="shared" si="64"/>
        <v>T</v>
      </c>
      <c r="B2085" s="455">
        <f>VLOOKUP(LEFT($C$3:$C$2600,3),Table!$D$2:$E$88,2,FALSE)</f>
        <v>0</v>
      </c>
      <c r="C2085" s="455" t="str">
        <f t="shared" si="65"/>
        <v>T</v>
      </c>
      <c r="D2085" s="455" t="e">
        <f>VLOOKUP(G2085,Table!$G$3:$H$21,2,FALSE)</f>
        <v>#N/A</v>
      </c>
      <c r="E2085" s="452"/>
      <c r="F2085" s="452"/>
      <c r="G2085" s="452" t="s">
        <v>844</v>
      </c>
      <c r="H2085" s="452"/>
      <c r="I2085" s="453" t="s">
        <v>844</v>
      </c>
      <c r="J2085" s="453"/>
      <c r="K2085" s="461"/>
      <c r="L2085" s="461"/>
      <c r="M2085" s="461"/>
      <c r="N2085" s="461"/>
      <c r="O2085" s="461"/>
      <c r="P2085" s="461"/>
      <c r="Q2085" s="461"/>
      <c r="R2085" s="461"/>
      <c r="S2085" s="461"/>
      <c r="T2085" s="461"/>
      <c r="U2085" s="461"/>
      <c r="V2085" s="461"/>
    </row>
    <row r="2086" spans="1:22" s="455" customFormat="1" ht="13.5" hidden="1" customHeight="1">
      <c r="A2086" s="455" t="str">
        <f t="shared" si="64"/>
        <v>T</v>
      </c>
      <c r="B2086" s="455">
        <f>VLOOKUP(LEFT($C$3:$C$2600,3),Table!$D$2:$E$88,2,FALSE)</f>
        <v>0</v>
      </c>
      <c r="C2086" s="455" t="str">
        <f t="shared" si="65"/>
        <v>T</v>
      </c>
      <c r="D2086" s="455" t="e">
        <f>VLOOKUP(G2086,Table!$G$3:$H$21,2,FALSE)</f>
        <v>#N/A</v>
      </c>
      <c r="E2086" s="452"/>
      <c r="F2086" s="452"/>
      <c r="G2086" s="452" t="s">
        <v>844</v>
      </c>
      <c r="H2086" s="452"/>
      <c r="I2086" s="453" t="s">
        <v>844</v>
      </c>
      <c r="J2086" s="453"/>
      <c r="K2086" s="461"/>
      <c r="L2086" s="461"/>
      <c r="M2086" s="461"/>
      <c r="N2086" s="461"/>
      <c r="O2086" s="461"/>
      <c r="P2086" s="461"/>
      <c r="Q2086" s="461"/>
      <c r="R2086" s="461"/>
      <c r="S2086" s="461"/>
      <c r="T2086" s="461"/>
      <c r="U2086" s="461"/>
      <c r="V2086" s="461"/>
    </row>
    <row r="2087" spans="1:22" s="455" customFormat="1" hidden="1">
      <c r="A2087" s="455" t="str">
        <f t="shared" si="64"/>
        <v>T</v>
      </c>
      <c r="B2087" s="455">
        <f>VLOOKUP(LEFT($C$3:$C$2600,3),Table!$D$2:$E$88,2,FALSE)</f>
        <v>0</v>
      </c>
      <c r="C2087" s="455" t="str">
        <f t="shared" si="65"/>
        <v>T</v>
      </c>
      <c r="D2087" s="455" t="e">
        <f>VLOOKUP(G2087,Table!$G$3:$H$21,2,FALSE)</f>
        <v>#N/A</v>
      </c>
      <c r="E2087" s="452"/>
      <c r="F2087" s="452"/>
      <c r="G2087" s="452" t="s">
        <v>844</v>
      </c>
      <c r="H2087" s="452"/>
      <c r="I2087" s="453" t="s">
        <v>844</v>
      </c>
      <c r="J2087" s="453"/>
      <c r="K2087" s="461"/>
      <c r="L2087" s="461"/>
      <c r="M2087" s="461"/>
      <c r="N2087" s="461"/>
      <c r="O2087" s="461"/>
      <c r="P2087" s="461"/>
      <c r="Q2087" s="461"/>
      <c r="R2087" s="461"/>
      <c r="S2087" s="461"/>
      <c r="T2087" s="461"/>
      <c r="U2087" s="461"/>
      <c r="V2087" s="461"/>
    </row>
    <row r="2088" spans="1:22" s="455" customFormat="1" hidden="1">
      <c r="A2088" s="455" t="str">
        <f t="shared" si="64"/>
        <v>T</v>
      </c>
      <c r="B2088" s="455">
        <f>VLOOKUP(LEFT($C$3:$C$2600,3),Table!$D$2:$E$88,2,FALSE)</f>
        <v>0</v>
      </c>
      <c r="C2088" s="455" t="str">
        <f t="shared" si="65"/>
        <v>T</v>
      </c>
      <c r="D2088" s="455" t="e">
        <f>VLOOKUP(G2088,Table!$G$3:$H$21,2,FALSE)</f>
        <v>#N/A</v>
      </c>
      <c r="E2088" s="452"/>
      <c r="F2088" s="452"/>
      <c r="G2088" s="452" t="s">
        <v>844</v>
      </c>
      <c r="H2088" s="452"/>
      <c r="I2088" s="453" t="s">
        <v>844</v>
      </c>
      <c r="J2088" s="453"/>
      <c r="K2088" s="461"/>
      <c r="L2088" s="461"/>
      <c r="M2088" s="461"/>
      <c r="N2088" s="461"/>
      <c r="O2088" s="461"/>
      <c r="P2088" s="461"/>
      <c r="Q2088" s="461"/>
      <c r="R2088" s="461"/>
      <c r="S2088" s="461"/>
      <c r="T2088" s="461"/>
      <c r="U2088" s="461"/>
      <c r="V2088" s="461"/>
    </row>
    <row r="2089" spans="1:22" s="455" customFormat="1" hidden="1">
      <c r="A2089" s="455" t="str">
        <f t="shared" si="64"/>
        <v>T</v>
      </c>
      <c r="B2089" s="455">
        <f>VLOOKUP(LEFT($C$3:$C$2600,3),Table!$D$2:$E$88,2,FALSE)</f>
        <v>0</v>
      </c>
      <c r="C2089" s="455" t="str">
        <f t="shared" si="65"/>
        <v>T</v>
      </c>
      <c r="D2089" s="455" t="e">
        <f>VLOOKUP(G2089,Table!$G$3:$H$21,2,FALSE)</f>
        <v>#N/A</v>
      </c>
      <c r="E2089" s="452"/>
      <c r="F2089" s="452"/>
      <c r="G2089" s="452" t="s">
        <v>844</v>
      </c>
      <c r="H2089" s="452"/>
      <c r="I2089" s="453" t="s">
        <v>844</v>
      </c>
      <c r="J2089" s="453"/>
      <c r="K2089" s="461"/>
      <c r="L2089" s="461"/>
      <c r="M2089" s="461"/>
      <c r="N2089" s="461"/>
      <c r="O2089" s="461"/>
      <c r="P2089" s="461"/>
      <c r="Q2089" s="461"/>
      <c r="R2089" s="461"/>
      <c r="S2089" s="461"/>
      <c r="T2089" s="461"/>
      <c r="U2089" s="461"/>
      <c r="V2089" s="461"/>
    </row>
    <row r="2090" spans="1:22" s="455" customFormat="1" hidden="1">
      <c r="A2090" s="455" t="str">
        <f t="shared" si="64"/>
        <v>T</v>
      </c>
      <c r="B2090" s="455">
        <f>VLOOKUP(LEFT($C$3:$C$2600,3),Table!$D$2:$E$88,2,FALSE)</f>
        <v>0</v>
      </c>
      <c r="C2090" s="455" t="str">
        <f t="shared" si="65"/>
        <v>T</v>
      </c>
      <c r="D2090" s="455" t="e">
        <f>VLOOKUP(G2090,Table!$G$3:$H$21,2,FALSE)</f>
        <v>#N/A</v>
      </c>
      <c r="E2090" s="452"/>
      <c r="F2090" s="452"/>
      <c r="G2090" s="452" t="s">
        <v>844</v>
      </c>
      <c r="H2090" s="452"/>
      <c r="I2090" s="453" t="s">
        <v>844</v>
      </c>
      <c r="J2090" s="453"/>
      <c r="K2090" s="461"/>
      <c r="L2090" s="461"/>
      <c r="M2090" s="461"/>
      <c r="N2090" s="461"/>
      <c r="O2090" s="461"/>
      <c r="P2090" s="461"/>
      <c r="Q2090" s="461"/>
      <c r="R2090" s="461"/>
      <c r="S2090" s="461"/>
      <c r="T2090" s="461"/>
      <c r="U2090" s="461"/>
      <c r="V2090" s="461"/>
    </row>
    <row r="2091" spans="1:22" s="455" customFormat="1" hidden="1">
      <c r="A2091" s="455" t="str">
        <f t="shared" si="64"/>
        <v>T</v>
      </c>
      <c r="B2091" s="455">
        <f>VLOOKUP(LEFT($C$3:$C$2600,3),Table!$D$2:$E$88,2,FALSE)</f>
        <v>0</v>
      </c>
      <c r="C2091" s="455" t="str">
        <f t="shared" si="65"/>
        <v>T</v>
      </c>
      <c r="D2091" s="455" t="e">
        <f>VLOOKUP(G2091,Table!$G$3:$H$21,2,FALSE)</f>
        <v>#N/A</v>
      </c>
      <c r="E2091" s="452"/>
      <c r="F2091" s="452"/>
      <c r="G2091" s="452" t="s">
        <v>844</v>
      </c>
      <c r="H2091" s="452"/>
      <c r="I2091" s="453" t="s">
        <v>844</v>
      </c>
      <c r="J2091" s="453"/>
      <c r="K2091" s="461"/>
      <c r="L2091" s="461"/>
      <c r="M2091" s="461"/>
      <c r="N2091" s="461"/>
      <c r="O2091" s="461"/>
      <c r="P2091" s="461"/>
      <c r="Q2091" s="461"/>
      <c r="R2091" s="461"/>
      <c r="S2091" s="461"/>
      <c r="T2091" s="461"/>
      <c r="U2091" s="461"/>
      <c r="V2091" s="461"/>
    </row>
    <row r="2092" spans="1:22" s="455" customFormat="1" hidden="1">
      <c r="A2092" s="455" t="str">
        <f t="shared" ref="A2092:A2155" si="66">F2092&amp;G2092</f>
        <v>T</v>
      </c>
      <c r="B2092" s="455">
        <f>VLOOKUP(LEFT($C$3:$C$2600,3),Table!$D$2:$E$88,2,FALSE)</f>
        <v>0</v>
      </c>
      <c r="C2092" s="455" t="str">
        <f t="shared" ref="C2092:C2155" si="67">IF(ISNA(D2092),G2092,D2092)</f>
        <v>T</v>
      </c>
      <c r="D2092" s="455" t="e">
        <f>VLOOKUP(G2092,Table!$G$3:$H$21,2,FALSE)</f>
        <v>#N/A</v>
      </c>
      <c r="E2092" s="452"/>
      <c r="F2092" s="452"/>
      <c r="G2092" s="452" t="s">
        <v>844</v>
      </c>
      <c r="H2092" s="452"/>
      <c r="I2092" s="453" t="s">
        <v>844</v>
      </c>
      <c r="J2092" s="453"/>
      <c r="K2092" s="461"/>
      <c r="L2092" s="461"/>
      <c r="M2092" s="461"/>
      <c r="N2092" s="461"/>
      <c r="O2092" s="461"/>
      <c r="P2092" s="461"/>
      <c r="Q2092" s="461"/>
      <c r="R2092" s="461"/>
      <c r="S2092" s="461"/>
      <c r="T2092" s="461"/>
      <c r="U2092" s="461"/>
      <c r="V2092" s="461"/>
    </row>
    <row r="2093" spans="1:22" s="455" customFormat="1" hidden="1">
      <c r="A2093" s="455" t="str">
        <f t="shared" si="66"/>
        <v>T</v>
      </c>
      <c r="B2093" s="455">
        <f>VLOOKUP(LEFT($C$3:$C$2600,3),Table!$D$2:$E$88,2,FALSE)</f>
        <v>0</v>
      </c>
      <c r="C2093" s="455" t="str">
        <f t="shared" si="67"/>
        <v>T</v>
      </c>
      <c r="D2093" s="455" t="e">
        <f>VLOOKUP(G2093,Table!$G$3:$H$21,2,FALSE)</f>
        <v>#N/A</v>
      </c>
      <c r="E2093" s="452"/>
      <c r="F2093" s="452"/>
      <c r="G2093" s="452" t="s">
        <v>844</v>
      </c>
      <c r="H2093" s="452"/>
      <c r="I2093" s="453" t="s">
        <v>844</v>
      </c>
      <c r="J2093" s="453"/>
      <c r="K2093" s="461"/>
      <c r="L2093" s="461"/>
      <c r="M2093" s="461"/>
      <c r="N2093" s="461"/>
      <c r="O2093" s="461"/>
      <c r="P2093" s="461"/>
      <c r="Q2093" s="461"/>
      <c r="R2093" s="461"/>
      <c r="S2093" s="461"/>
      <c r="T2093" s="461"/>
      <c r="U2093" s="461"/>
      <c r="V2093" s="461"/>
    </row>
    <row r="2094" spans="1:22" s="455" customFormat="1" hidden="1">
      <c r="A2094" s="455" t="str">
        <f t="shared" si="66"/>
        <v>T</v>
      </c>
      <c r="B2094" s="455">
        <f>VLOOKUP(LEFT($C$3:$C$2600,3),Table!$D$2:$E$88,2,FALSE)</f>
        <v>0</v>
      </c>
      <c r="C2094" s="455" t="str">
        <f t="shared" si="67"/>
        <v>T</v>
      </c>
      <c r="D2094" s="455" t="e">
        <f>VLOOKUP(G2094,Table!$G$3:$H$21,2,FALSE)</f>
        <v>#N/A</v>
      </c>
      <c r="E2094" s="452"/>
      <c r="F2094" s="452"/>
      <c r="G2094" s="452" t="s">
        <v>844</v>
      </c>
      <c r="H2094" s="452"/>
      <c r="I2094" s="453" t="s">
        <v>844</v>
      </c>
      <c r="J2094" s="453"/>
      <c r="K2094" s="461"/>
      <c r="L2094" s="461"/>
      <c r="M2094" s="461"/>
      <c r="N2094" s="461"/>
      <c r="O2094" s="461"/>
      <c r="P2094" s="461"/>
      <c r="Q2094" s="461"/>
      <c r="R2094" s="461"/>
      <c r="S2094" s="461"/>
      <c r="T2094" s="461"/>
      <c r="U2094" s="461"/>
      <c r="V2094" s="461"/>
    </row>
    <row r="2095" spans="1:22" s="455" customFormat="1" hidden="1">
      <c r="A2095" s="455" t="str">
        <f t="shared" si="66"/>
        <v>T</v>
      </c>
      <c r="B2095" s="455">
        <f>VLOOKUP(LEFT($C$3:$C$2600,3),Table!$D$2:$E$88,2,FALSE)</f>
        <v>0</v>
      </c>
      <c r="C2095" s="455" t="str">
        <f t="shared" si="67"/>
        <v>T</v>
      </c>
      <c r="D2095" s="455" t="e">
        <f>VLOOKUP(G2095,Table!$G$3:$H$21,2,FALSE)</f>
        <v>#N/A</v>
      </c>
      <c r="E2095" s="452"/>
      <c r="F2095" s="452"/>
      <c r="G2095" s="452" t="s">
        <v>844</v>
      </c>
      <c r="H2095" s="452"/>
      <c r="I2095" s="453" t="s">
        <v>844</v>
      </c>
      <c r="J2095" s="453"/>
      <c r="K2095" s="461"/>
      <c r="L2095" s="461"/>
      <c r="M2095" s="461"/>
      <c r="N2095" s="461"/>
      <c r="O2095" s="461"/>
      <c r="P2095" s="461"/>
      <c r="Q2095" s="461"/>
      <c r="R2095" s="461"/>
      <c r="S2095" s="461"/>
      <c r="T2095" s="461"/>
      <c r="U2095" s="461"/>
      <c r="V2095" s="461"/>
    </row>
    <row r="2096" spans="1:22" s="455" customFormat="1" hidden="1">
      <c r="A2096" s="455" t="str">
        <f t="shared" si="66"/>
        <v>T</v>
      </c>
      <c r="B2096" s="455">
        <f>VLOOKUP(LEFT($C$3:$C$2600,3),Table!$D$2:$E$88,2,FALSE)</f>
        <v>0</v>
      </c>
      <c r="C2096" s="455" t="str">
        <f t="shared" si="67"/>
        <v>T</v>
      </c>
      <c r="D2096" s="455" t="e">
        <f>VLOOKUP(G2096,Table!$G$3:$H$21,2,FALSE)</f>
        <v>#N/A</v>
      </c>
      <c r="E2096" s="452"/>
      <c r="F2096" s="452"/>
      <c r="G2096" s="452" t="s">
        <v>844</v>
      </c>
      <c r="H2096" s="452"/>
      <c r="I2096" s="453" t="s">
        <v>844</v>
      </c>
      <c r="J2096" s="453"/>
      <c r="K2096" s="461"/>
      <c r="L2096" s="461"/>
      <c r="M2096" s="461"/>
      <c r="N2096" s="461"/>
      <c r="O2096" s="461"/>
      <c r="P2096" s="461"/>
      <c r="Q2096" s="461"/>
      <c r="R2096" s="461"/>
      <c r="S2096" s="461"/>
      <c r="T2096" s="461"/>
      <c r="U2096" s="461"/>
      <c r="V2096" s="461"/>
    </row>
    <row r="2097" spans="1:22" s="455" customFormat="1" hidden="1">
      <c r="A2097" s="455" t="str">
        <f t="shared" si="66"/>
        <v>T</v>
      </c>
      <c r="B2097" s="455">
        <f>VLOOKUP(LEFT($C$3:$C$2600,3),Table!$D$2:$E$88,2,FALSE)</f>
        <v>0</v>
      </c>
      <c r="C2097" s="455" t="str">
        <f t="shared" si="67"/>
        <v>T</v>
      </c>
      <c r="D2097" s="455" t="e">
        <f>VLOOKUP(G2097,Table!$G$3:$H$21,2,FALSE)</f>
        <v>#N/A</v>
      </c>
      <c r="E2097" s="452"/>
      <c r="F2097" s="452"/>
      <c r="G2097" s="452" t="s">
        <v>844</v>
      </c>
      <c r="H2097" s="452"/>
      <c r="I2097" s="453" t="s">
        <v>844</v>
      </c>
      <c r="J2097" s="453"/>
      <c r="K2097" s="461"/>
      <c r="L2097" s="461"/>
      <c r="M2097" s="461"/>
      <c r="N2097" s="461"/>
      <c r="O2097" s="461"/>
      <c r="P2097" s="461"/>
      <c r="Q2097" s="461"/>
      <c r="R2097" s="461"/>
      <c r="S2097" s="461"/>
      <c r="T2097" s="461"/>
      <c r="U2097" s="461"/>
      <c r="V2097" s="461"/>
    </row>
    <row r="2098" spans="1:22" s="455" customFormat="1" hidden="1">
      <c r="A2098" s="455" t="str">
        <f t="shared" si="66"/>
        <v>T</v>
      </c>
      <c r="B2098" s="455">
        <f>VLOOKUP(LEFT($C$3:$C$2600,3),Table!$D$2:$E$88,2,FALSE)</f>
        <v>0</v>
      </c>
      <c r="C2098" s="455" t="str">
        <f t="shared" si="67"/>
        <v>T</v>
      </c>
      <c r="D2098" s="455" t="e">
        <f>VLOOKUP(G2098,Table!$G$3:$H$21,2,FALSE)</f>
        <v>#N/A</v>
      </c>
      <c r="E2098" s="452"/>
      <c r="F2098" s="452"/>
      <c r="G2098" s="452" t="s">
        <v>844</v>
      </c>
      <c r="H2098" s="452"/>
      <c r="I2098" s="453" t="s">
        <v>844</v>
      </c>
      <c r="J2098" s="453"/>
      <c r="K2098" s="461"/>
      <c r="L2098" s="461"/>
      <c r="M2098" s="461"/>
      <c r="N2098" s="461"/>
      <c r="O2098" s="461"/>
      <c r="P2098" s="461"/>
      <c r="Q2098" s="461"/>
      <c r="R2098" s="461"/>
      <c r="S2098" s="461"/>
      <c r="T2098" s="461"/>
      <c r="U2098" s="461"/>
      <c r="V2098" s="461"/>
    </row>
    <row r="2099" spans="1:22" s="455" customFormat="1" hidden="1">
      <c r="A2099" s="455" t="str">
        <f t="shared" si="66"/>
        <v>T</v>
      </c>
      <c r="B2099" s="455">
        <f>VLOOKUP(LEFT($C$3:$C$2600,3),Table!$D$2:$E$88,2,FALSE)</f>
        <v>0</v>
      </c>
      <c r="C2099" s="455" t="str">
        <f t="shared" si="67"/>
        <v>T</v>
      </c>
      <c r="D2099" s="455" t="e">
        <f>VLOOKUP(G2099,Table!$G$3:$H$21,2,FALSE)</f>
        <v>#N/A</v>
      </c>
      <c r="E2099" s="452"/>
      <c r="F2099" s="452"/>
      <c r="G2099" s="452" t="s">
        <v>844</v>
      </c>
      <c r="H2099" s="452"/>
      <c r="I2099" s="453" t="s">
        <v>844</v>
      </c>
      <c r="J2099" s="453"/>
      <c r="K2099" s="461"/>
      <c r="L2099" s="461"/>
      <c r="M2099" s="461"/>
      <c r="N2099" s="461"/>
      <c r="O2099" s="461"/>
      <c r="P2099" s="461"/>
      <c r="Q2099" s="461"/>
      <c r="R2099" s="461"/>
      <c r="S2099" s="461"/>
      <c r="T2099" s="461"/>
      <c r="U2099" s="461"/>
      <c r="V2099" s="461"/>
    </row>
    <row r="2100" spans="1:22" s="455" customFormat="1" hidden="1">
      <c r="A2100" s="455" t="str">
        <f t="shared" si="66"/>
        <v>T</v>
      </c>
      <c r="B2100" s="455">
        <f>VLOOKUP(LEFT($C$3:$C$2600,3),Table!$D$2:$E$88,2,FALSE)</f>
        <v>0</v>
      </c>
      <c r="C2100" s="455" t="str">
        <f t="shared" si="67"/>
        <v>T</v>
      </c>
      <c r="D2100" s="455" t="e">
        <f>VLOOKUP(G2100,Table!$G$3:$H$21,2,FALSE)</f>
        <v>#N/A</v>
      </c>
      <c r="E2100" s="452"/>
      <c r="F2100" s="452"/>
      <c r="G2100" s="452" t="s">
        <v>844</v>
      </c>
      <c r="H2100" s="452"/>
      <c r="I2100" s="453" t="s">
        <v>844</v>
      </c>
      <c r="J2100" s="453"/>
      <c r="K2100" s="461"/>
      <c r="L2100" s="461"/>
      <c r="M2100" s="461"/>
      <c r="N2100" s="461"/>
      <c r="O2100" s="461"/>
      <c r="P2100" s="461"/>
      <c r="Q2100" s="461"/>
      <c r="R2100" s="461"/>
      <c r="S2100" s="461"/>
      <c r="T2100" s="461"/>
      <c r="U2100" s="461"/>
      <c r="V2100" s="461"/>
    </row>
    <row r="2101" spans="1:22" s="455" customFormat="1" hidden="1">
      <c r="A2101" s="455" t="str">
        <f t="shared" si="66"/>
        <v>T</v>
      </c>
      <c r="B2101" s="455">
        <f>VLOOKUP(LEFT($C$3:$C$2600,3),Table!$D$2:$E$88,2,FALSE)</f>
        <v>0</v>
      </c>
      <c r="C2101" s="455" t="str">
        <f t="shared" si="67"/>
        <v>T</v>
      </c>
      <c r="D2101" s="455" t="e">
        <f>VLOOKUP(G2101,Table!$G$3:$H$21,2,FALSE)</f>
        <v>#N/A</v>
      </c>
      <c r="E2101" s="452"/>
      <c r="F2101" s="452"/>
      <c r="G2101" s="452" t="s">
        <v>844</v>
      </c>
      <c r="H2101" s="452"/>
      <c r="I2101" s="453" t="s">
        <v>844</v>
      </c>
      <c r="J2101" s="453"/>
      <c r="K2101" s="461"/>
      <c r="L2101" s="461"/>
      <c r="M2101" s="461"/>
      <c r="N2101" s="461"/>
      <c r="O2101" s="461"/>
      <c r="P2101" s="461"/>
      <c r="Q2101" s="461"/>
      <c r="R2101" s="461"/>
      <c r="S2101" s="461"/>
      <c r="T2101" s="461"/>
      <c r="U2101" s="461"/>
      <c r="V2101" s="461"/>
    </row>
    <row r="2102" spans="1:22" s="455" customFormat="1" hidden="1">
      <c r="A2102" s="455" t="str">
        <f t="shared" si="66"/>
        <v>T</v>
      </c>
      <c r="B2102" s="455">
        <f>VLOOKUP(LEFT($C$3:$C$2600,3),Table!$D$2:$E$88,2,FALSE)</f>
        <v>0</v>
      </c>
      <c r="C2102" s="455" t="str">
        <f t="shared" si="67"/>
        <v>T</v>
      </c>
      <c r="D2102" s="455" t="e">
        <f>VLOOKUP(G2102,Table!$G$3:$H$21,2,FALSE)</f>
        <v>#N/A</v>
      </c>
      <c r="E2102" s="452"/>
      <c r="F2102" s="452"/>
      <c r="G2102" s="452" t="s">
        <v>844</v>
      </c>
      <c r="H2102" s="452"/>
      <c r="I2102" s="453" t="s">
        <v>844</v>
      </c>
      <c r="J2102" s="453"/>
      <c r="K2102" s="461"/>
      <c r="L2102" s="461"/>
      <c r="M2102" s="461"/>
      <c r="N2102" s="461"/>
      <c r="O2102" s="461"/>
      <c r="P2102" s="461"/>
      <c r="Q2102" s="461"/>
      <c r="R2102" s="461"/>
      <c r="S2102" s="461"/>
      <c r="T2102" s="461"/>
      <c r="U2102" s="461"/>
      <c r="V2102" s="461"/>
    </row>
    <row r="2103" spans="1:22" s="455" customFormat="1" hidden="1">
      <c r="A2103" s="455" t="str">
        <f t="shared" si="66"/>
        <v>T</v>
      </c>
      <c r="B2103" s="455">
        <f>VLOOKUP(LEFT($C$3:$C$2600,3),Table!$D$2:$E$88,2,FALSE)</f>
        <v>0</v>
      </c>
      <c r="C2103" s="455" t="str">
        <f t="shared" si="67"/>
        <v>T</v>
      </c>
      <c r="D2103" s="455" t="e">
        <f>VLOOKUP(G2103,Table!$G$3:$H$21,2,FALSE)</f>
        <v>#N/A</v>
      </c>
      <c r="E2103" s="452"/>
      <c r="F2103" s="452"/>
      <c r="G2103" s="452" t="s">
        <v>844</v>
      </c>
      <c r="H2103" s="452"/>
      <c r="I2103" s="453" t="s">
        <v>844</v>
      </c>
      <c r="J2103" s="453"/>
      <c r="K2103" s="461"/>
      <c r="L2103" s="461"/>
      <c r="M2103" s="461"/>
      <c r="N2103" s="461"/>
      <c r="O2103" s="461"/>
      <c r="P2103" s="461"/>
      <c r="Q2103" s="461"/>
      <c r="R2103" s="461"/>
      <c r="S2103" s="461"/>
      <c r="T2103" s="461"/>
      <c r="U2103" s="461"/>
      <c r="V2103" s="461"/>
    </row>
    <row r="2104" spans="1:22" s="455" customFormat="1" hidden="1">
      <c r="A2104" s="455" t="str">
        <f t="shared" si="66"/>
        <v>T</v>
      </c>
      <c r="B2104" s="455">
        <f>VLOOKUP(LEFT($C$3:$C$2600,3),Table!$D$2:$E$88,2,FALSE)</f>
        <v>0</v>
      </c>
      <c r="C2104" s="455" t="str">
        <f t="shared" si="67"/>
        <v>T</v>
      </c>
      <c r="D2104" s="455" t="e">
        <f>VLOOKUP(G2104,Table!$G$3:$H$21,2,FALSE)</f>
        <v>#N/A</v>
      </c>
      <c r="E2104" s="452"/>
      <c r="F2104" s="452"/>
      <c r="G2104" s="452" t="s">
        <v>844</v>
      </c>
      <c r="H2104" s="452"/>
      <c r="I2104" s="453" t="s">
        <v>844</v>
      </c>
      <c r="J2104" s="453"/>
      <c r="K2104" s="461"/>
      <c r="L2104" s="461"/>
      <c r="M2104" s="461"/>
      <c r="N2104" s="461"/>
      <c r="O2104" s="461"/>
      <c r="P2104" s="461"/>
      <c r="Q2104" s="461"/>
      <c r="R2104" s="461"/>
      <c r="S2104" s="461"/>
      <c r="T2104" s="461"/>
      <c r="U2104" s="461"/>
      <c r="V2104" s="461"/>
    </row>
    <row r="2105" spans="1:22" s="455" customFormat="1" hidden="1">
      <c r="A2105" s="455" t="str">
        <f t="shared" si="66"/>
        <v>T</v>
      </c>
      <c r="B2105" s="455">
        <f>VLOOKUP(LEFT($C$3:$C$2600,3),Table!$D$2:$E$88,2,FALSE)</f>
        <v>0</v>
      </c>
      <c r="C2105" s="455" t="str">
        <f t="shared" si="67"/>
        <v>T</v>
      </c>
      <c r="D2105" s="455" t="e">
        <f>VLOOKUP(G2105,Table!$G$3:$H$21,2,FALSE)</f>
        <v>#N/A</v>
      </c>
      <c r="E2105" s="452"/>
      <c r="F2105" s="452"/>
      <c r="G2105" s="452" t="s">
        <v>844</v>
      </c>
      <c r="H2105" s="452"/>
      <c r="I2105" s="453" t="s">
        <v>844</v>
      </c>
      <c r="J2105" s="453"/>
      <c r="K2105" s="461"/>
      <c r="L2105" s="461"/>
      <c r="M2105" s="461"/>
      <c r="N2105" s="461"/>
      <c r="O2105" s="461"/>
      <c r="P2105" s="461"/>
      <c r="Q2105" s="461"/>
      <c r="R2105" s="461"/>
      <c r="S2105" s="461"/>
      <c r="T2105" s="461"/>
      <c r="U2105" s="461"/>
      <c r="V2105" s="461"/>
    </row>
    <row r="2106" spans="1:22" s="455" customFormat="1" hidden="1">
      <c r="A2106" s="455" t="str">
        <f t="shared" si="66"/>
        <v>T</v>
      </c>
      <c r="B2106" s="455">
        <f>VLOOKUP(LEFT($C$3:$C$2600,3),Table!$D$2:$E$88,2,FALSE)</f>
        <v>0</v>
      </c>
      <c r="C2106" s="455" t="str">
        <f t="shared" si="67"/>
        <v>T</v>
      </c>
      <c r="D2106" s="455" t="e">
        <f>VLOOKUP(G2106,Table!$G$3:$H$21,2,FALSE)</f>
        <v>#N/A</v>
      </c>
      <c r="E2106" s="452"/>
      <c r="F2106" s="452"/>
      <c r="G2106" s="452" t="s">
        <v>844</v>
      </c>
      <c r="H2106" s="452"/>
      <c r="I2106" s="453" t="s">
        <v>844</v>
      </c>
      <c r="J2106" s="453"/>
      <c r="K2106" s="461"/>
      <c r="L2106" s="461"/>
      <c r="M2106" s="461"/>
      <c r="N2106" s="461"/>
      <c r="O2106" s="461"/>
      <c r="P2106" s="461"/>
      <c r="Q2106" s="461"/>
      <c r="R2106" s="461"/>
      <c r="S2106" s="461"/>
      <c r="T2106" s="461"/>
      <c r="U2106" s="461"/>
      <c r="V2106" s="461"/>
    </row>
    <row r="2107" spans="1:22" s="455" customFormat="1" hidden="1">
      <c r="A2107" s="455" t="str">
        <f t="shared" si="66"/>
        <v>T</v>
      </c>
      <c r="B2107" s="455">
        <f>VLOOKUP(LEFT($C$3:$C$2600,3),Table!$D$2:$E$88,2,FALSE)</f>
        <v>0</v>
      </c>
      <c r="C2107" s="455" t="str">
        <f t="shared" si="67"/>
        <v>T</v>
      </c>
      <c r="D2107" s="455" t="e">
        <f>VLOOKUP(G2107,Table!$G$3:$H$21,2,FALSE)</f>
        <v>#N/A</v>
      </c>
      <c r="E2107" s="452"/>
      <c r="F2107" s="452"/>
      <c r="G2107" s="452" t="s">
        <v>844</v>
      </c>
      <c r="H2107" s="452"/>
      <c r="I2107" s="453" t="s">
        <v>844</v>
      </c>
      <c r="J2107" s="453"/>
      <c r="K2107" s="461"/>
      <c r="L2107" s="461"/>
      <c r="M2107" s="461"/>
      <c r="N2107" s="461"/>
      <c r="O2107" s="461"/>
      <c r="P2107" s="461"/>
      <c r="Q2107" s="461"/>
      <c r="R2107" s="461"/>
      <c r="S2107" s="461"/>
      <c r="T2107" s="461"/>
      <c r="U2107" s="461"/>
      <c r="V2107" s="461"/>
    </row>
    <row r="2108" spans="1:22" s="455" customFormat="1" hidden="1">
      <c r="A2108" s="455" t="str">
        <f t="shared" si="66"/>
        <v>T</v>
      </c>
      <c r="B2108" s="455">
        <f>VLOOKUP(LEFT($C$3:$C$2600,3),Table!$D$2:$E$88,2,FALSE)</f>
        <v>0</v>
      </c>
      <c r="C2108" s="455" t="str">
        <f t="shared" si="67"/>
        <v>T</v>
      </c>
      <c r="D2108" s="455" t="e">
        <f>VLOOKUP(G2108,Table!$G$3:$H$21,2,FALSE)</f>
        <v>#N/A</v>
      </c>
      <c r="E2108" s="452"/>
      <c r="F2108" s="452"/>
      <c r="G2108" s="452" t="s">
        <v>844</v>
      </c>
      <c r="H2108" s="452"/>
      <c r="I2108" s="453" t="s">
        <v>844</v>
      </c>
      <c r="J2108" s="453"/>
      <c r="K2108" s="461"/>
      <c r="L2108" s="461"/>
      <c r="M2108" s="461"/>
      <c r="N2108" s="461"/>
      <c r="O2108" s="461"/>
      <c r="P2108" s="461"/>
      <c r="Q2108" s="461"/>
      <c r="R2108" s="461"/>
      <c r="S2108" s="461"/>
      <c r="T2108" s="461"/>
      <c r="U2108" s="461"/>
      <c r="V2108" s="461"/>
    </row>
    <row r="2109" spans="1:22" s="455" customFormat="1" hidden="1">
      <c r="A2109" s="455" t="str">
        <f t="shared" si="66"/>
        <v>T</v>
      </c>
      <c r="B2109" s="455">
        <f>VLOOKUP(LEFT($C$3:$C$2600,3),Table!$D$2:$E$88,2,FALSE)</f>
        <v>0</v>
      </c>
      <c r="C2109" s="455" t="str">
        <f t="shared" si="67"/>
        <v>T</v>
      </c>
      <c r="D2109" s="455" t="e">
        <f>VLOOKUP(G2109,Table!$G$3:$H$21,2,FALSE)</f>
        <v>#N/A</v>
      </c>
      <c r="E2109" s="452"/>
      <c r="F2109" s="452"/>
      <c r="G2109" s="452" t="s">
        <v>844</v>
      </c>
      <c r="H2109" s="452"/>
      <c r="I2109" s="453" t="s">
        <v>844</v>
      </c>
      <c r="J2109" s="453"/>
      <c r="K2109" s="461"/>
      <c r="L2109" s="461"/>
      <c r="M2109" s="461"/>
      <c r="N2109" s="461"/>
      <c r="O2109" s="461"/>
      <c r="P2109" s="461"/>
      <c r="Q2109" s="461"/>
      <c r="R2109" s="461"/>
      <c r="S2109" s="461"/>
      <c r="T2109" s="461"/>
      <c r="U2109" s="461"/>
      <c r="V2109" s="461"/>
    </row>
    <row r="2110" spans="1:22" s="455" customFormat="1" hidden="1">
      <c r="A2110" s="455" t="str">
        <f t="shared" si="66"/>
        <v>T</v>
      </c>
      <c r="B2110" s="455">
        <f>VLOOKUP(LEFT($C$3:$C$2600,3),Table!$D$2:$E$88,2,FALSE)</f>
        <v>0</v>
      </c>
      <c r="C2110" s="455" t="str">
        <f t="shared" si="67"/>
        <v>T</v>
      </c>
      <c r="D2110" s="455" t="e">
        <f>VLOOKUP(G2110,Table!$G$3:$H$21,2,FALSE)</f>
        <v>#N/A</v>
      </c>
      <c r="E2110" s="452"/>
      <c r="F2110" s="452"/>
      <c r="G2110" s="452" t="s">
        <v>844</v>
      </c>
      <c r="H2110" s="452"/>
      <c r="I2110" s="453" t="s">
        <v>844</v>
      </c>
      <c r="J2110" s="453"/>
      <c r="K2110" s="461"/>
      <c r="L2110" s="461"/>
      <c r="M2110" s="461"/>
      <c r="N2110" s="461"/>
      <c r="O2110" s="461"/>
      <c r="P2110" s="461"/>
      <c r="Q2110" s="461"/>
      <c r="R2110" s="461"/>
      <c r="S2110" s="461"/>
      <c r="T2110" s="461"/>
      <c r="U2110" s="461"/>
      <c r="V2110" s="461"/>
    </row>
    <row r="2111" spans="1:22" s="455" customFormat="1" hidden="1">
      <c r="A2111" s="455" t="str">
        <f t="shared" si="66"/>
        <v>T</v>
      </c>
      <c r="B2111" s="455">
        <f>VLOOKUP(LEFT($C$3:$C$2600,3),Table!$D$2:$E$88,2,FALSE)</f>
        <v>0</v>
      </c>
      <c r="C2111" s="455" t="str">
        <f t="shared" si="67"/>
        <v>T</v>
      </c>
      <c r="D2111" s="455" t="e">
        <f>VLOOKUP(G2111,Table!$G$3:$H$21,2,FALSE)</f>
        <v>#N/A</v>
      </c>
      <c r="E2111" s="452"/>
      <c r="F2111" s="452"/>
      <c r="G2111" s="452" t="s">
        <v>844</v>
      </c>
      <c r="H2111" s="452"/>
      <c r="I2111" s="453" t="s">
        <v>844</v>
      </c>
      <c r="J2111" s="453"/>
      <c r="K2111" s="461"/>
      <c r="L2111" s="461"/>
      <c r="M2111" s="461"/>
      <c r="N2111" s="461"/>
      <c r="O2111" s="461"/>
      <c r="P2111" s="461"/>
      <c r="Q2111" s="461"/>
      <c r="R2111" s="461"/>
      <c r="S2111" s="461"/>
      <c r="T2111" s="461"/>
      <c r="U2111" s="461"/>
      <c r="V2111" s="461"/>
    </row>
    <row r="2112" spans="1:22" s="455" customFormat="1" hidden="1">
      <c r="A2112" s="455" t="str">
        <f t="shared" si="66"/>
        <v>T</v>
      </c>
      <c r="B2112" s="455">
        <f>VLOOKUP(LEFT($C$3:$C$2600,3),Table!$D$2:$E$88,2,FALSE)</f>
        <v>0</v>
      </c>
      <c r="C2112" s="455" t="str">
        <f t="shared" si="67"/>
        <v>T</v>
      </c>
      <c r="D2112" s="455" t="e">
        <f>VLOOKUP(G2112,Table!$G$3:$H$21,2,FALSE)</f>
        <v>#N/A</v>
      </c>
      <c r="E2112" s="452"/>
      <c r="F2112" s="452"/>
      <c r="G2112" s="452" t="s">
        <v>844</v>
      </c>
      <c r="H2112" s="452"/>
      <c r="I2112" s="453" t="s">
        <v>844</v>
      </c>
      <c r="J2112" s="453"/>
      <c r="K2112" s="461"/>
      <c r="L2112" s="461"/>
      <c r="M2112" s="461"/>
      <c r="N2112" s="461"/>
      <c r="O2112" s="461"/>
      <c r="P2112" s="461"/>
      <c r="Q2112" s="461"/>
      <c r="R2112" s="461"/>
      <c r="S2112" s="461"/>
      <c r="T2112" s="461"/>
      <c r="U2112" s="461"/>
      <c r="V2112" s="461"/>
    </row>
    <row r="2113" spans="1:22" s="455" customFormat="1" hidden="1">
      <c r="A2113" s="455" t="str">
        <f t="shared" si="66"/>
        <v>T</v>
      </c>
      <c r="B2113" s="455">
        <f>VLOOKUP(LEFT($C$3:$C$2600,3),Table!$D$2:$E$88,2,FALSE)</f>
        <v>0</v>
      </c>
      <c r="C2113" s="455" t="str">
        <f t="shared" si="67"/>
        <v>T</v>
      </c>
      <c r="D2113" s="455" t="e">
        <f>VLOOKUP(G2113,Table!$G$3:$H$21,2,FALSE)</f>
        <v>#N/A</v>
      </c>
      <c r="E2113" s="452"/>
      <c r="F2113" s="452"/>
      <c r="G2113" s="452" t="s">
        <v>844</v>
      </c>
      <c r="H2113" s="452"/>
      <c r="I2113" s="453" t="s">
        <v>844</v>
      </c>
      <c r="J2113" s="453"/>
      <c r="K2113" s="461"/>
      <c r="L2113" s="461"/>
      <c r="M2113" s="461"/>
      <c r="N2113" s="461"/>
      <c r="O2113" s="461"/>
      <c r="P2113" s="461"/>
      <c r="Q2113" s="461"/>
      <c r="R2113" s="461"/>
      <c r="S2113" s="461"/>
      <c r="T2113" s="461"/>
      <c r="U2113" s="461"/>
      <c r="V2113" s="461"/>
    </row>
    <row r="2114" spans="1:22" s="455" customFormat="1" hidden="1">
      <c r="A2114" s="455" t="str">
        <f t="shared" si="66"/>
        <v>T</v>
      </c>
      <c r="B2114" s="455">
        <f>VLOOKUP(LEFT($C$3:$C$2600,3),Table!$D$2:$E$88,2,FALSE)</f>
        <v>0</v>
      </c>
      <c r="C2114" s="455" t="str">
        <f t="shared" si="67"/>
        <v>T</v>
      </c>
      <c r="D2114" s="455" t="e">
        <f>VLOOKUP(G2114,Table!$G$3:$H$21,2,FALSE)</f>
        <v>#N/A</v>
      </c>
      <c r="E2114" s="452"/>
      <c r="F2114" s="452"/>
      <c r="G2114" s="452" t="s">
        <v>844</v>
      </c>
      <c r="H2114" s="452"/>
      <c r="I2114" s="453" t="s">
        <v>844</v>
      </c>
      <c r="J2114" s="453"/>
      <c r="K2114" s="461"/>
      <c r="L2114" s="461"/>
      <c r="M2114" s="461"/>
      <c r="N2114" s="461"/>
      <c r="O2114" s="461"/>
      <c r="P2114" s="461"/>
      <c r="Q2114" s="461"/>
      <c r="R2114" s="461"/>
      <c r="S2114" s="461"/>
      <c r="T2114" s="461"/>
      <c r="U2114" s="461"/>
      <c r="V2114" s="461"/>
    </row>
    <row r="2115" spans="1:22" s="455" customFormat="1" hidden="1">
      <c r="A2115" s="455" t="str">
        <f t="shared" si="66"/>
        <v>T</v>
      </c>
      <c r="B2115" s="455">
        <f>VLOOKUP(LEFT($C$3:$C$2600,3),Table!$D$2:$E$88,2,FALSE)</f>
        <v>0</v>
      </c>
      <c r="C2115" s="455" t="str">
        <f t="shared" si="67"/>
        <v>T</v>
      </c>
      <c r="D2115" s="455" t="e">
        <f>VLOOKUP(G2115,Table!$G$3:$H$21,2,FALSE)</f>
        <v>#N/A</v>
      </c>
      <c r="E2115" s="452"/>
      <c r="F2115" s="452"/>
      <c r="G2115" s="452" t="s">
        <v>844</v>
      </c>
      <c r="H2115" s="452"/>
      <c r="I2115" s="453" t="s">
        <v>844</v>
      </c>
      <c r="J2115" s="453"/>
      <c r="K2115" s="461"/>
      <c r="L2115" s="461"/>
      <c r="M2115" s="461"/>
      <c r="N2115" s="461"/>
      <c r="O2115" s="461"/>
      <c r="P2115" s="461"/>
      <c r="Q2115" s="461"/>
      <c r="R2115" s="461"/>
      <c r="S2115" s="461"/>
      <c r="T2115" s="461"/>
      <c r="U2115" s="461"/>
      <c r="V2115" s="461"/>
    </row>
    <row r="2116" spans="1:22" s="455" customFormat="1" hidden="1">
      <c r="A2116" s="455" t="str">
        <f t="shared" si="66"/>
        <v>T</v>
      </c>
      <c r="B2116" s="455">
        <f>VLOOKUP(LEFT($C$3:$C$2600,3),Table!$D$2:$E$88,2,FALSE)</f>
        <v>0</v>
      </c>
      <c r="C2116" s="455" t="str">
        <f t="shared" si="67"/>
        <v>T</v>
      </c>
      <c r="D2116" s="455" t="e">
        <f>VLOOKUP(G2116,Table!$G$3:$H$21,2,FALSE)</f>
        <v>#N/A</v>
      </c>
      <c r="E2116" s="452"/>
      <c r="F2116" s="452"/>
      <c r="G2116" s="452" t="s">
        <v>844</v>
      </c>
      <c r="H2116" s="452"/>
      <c r="I2116" s="453" t="s">
        <v>844</v>
      </c>
      <c r="J2116" s="453"/>
      <c r="K2116" s="461"/>
      <c r="L2116" s="461"/>
      <c r="M2116" s="461"/>
      <c r="N2116" s="461"/>
      <c r="O2116" s="461"/>
      <c r="P2116" s="461"/>
      <c r="Q2116" s="461"/>
      <c r="R2116" s="461"/>
      <c r="S2116" s="461"/>
      <c r="T2116" s="461"/>
      <c r="U2116" s="461"/>
      <c r="V2116" s="461"/>
    </row>
    <row r="2117" spans="1:22" s="455" customFormat="1" hidden="1">
      <c r="A2117" s="455" t="str">
        <f t="shared" si="66"/>
        <v>T</v>
      </c>
      <c r="B2117" s="455">
        <f>VLOOKUP(LEFT($C$3:$C$2600,3),Table!$D$2:$E$88,2,FALSE)</f>
        <v>0</v>
      </c>
      <c r="C2117" s="455" t="str">
        <f t="shared" si="67"/>
        <v>T</v>
      </c>
      <c r="D2117" s="455" t="e">
        <f>VLOOKUP(G2117,Table!$G$3:$H$21,2,FALSE)</f>
        <v>#N/A</v>
      </c>
      <c r="E2117" s="452"/>
      <c r="F2117" s="452"/>
      <c r="G2117" s="452" t="s">
        <v>844</v>
      </c>
      <c r="H2117" s="452"/>
      <c r="I2117" s="453" t="s">
        <v>844</v>
      </c>
      <c r="J2117" s="453"/>
      <c r="K2117" s="461"/>
      <c r="L2117" s="461"/>
      <c r="M2117" s="461"/>
      <c r="N2117" s="461"/>
      <c r="O2117" s="461"/>
      <c r="P2117" s="461"/>
      <c r="Q2117" s="461"/>
      <c r="R2117" s="461"/>
      <c r="S2117" s="461"/>
      <c r="T2117" s="461"/>
      <c r="U2117" s="461"/>
      <c r="V2117" s="461"/>
    </row>
    <row r="2118" spans="1:22" s="455" customFormat="1" hidden="1">
      <c r="A2118" s="455" t="str">
        <f t="shared" si="66"/>
        <v>T</v>
      </c>
      <c r="B2118" s="455">
        <f>VLOOKUP(LEFT($C$3:$C$2600,3),Table!$D$2:$E$88,2,FALSE)</f>
        <v>0</v>
      </c>
      <c r="C2118" s="455" t="str">
        <f t="shared" si="67"/>
        <v>T</v>
      </c>
      <c r="D2118" s="455" t="e">
        <f>VLOOKUP(G2118,Table!$G$3:$H$21,2,FALSE)</f>
        <v>#N/A</v>
      </c>
      <c r="E2118" s="452"/>
      <c r="F2118" s="452"/>
      <c r="G2118" s="452" t="s">
        <v>844</v>
      </c>
      <c r="H2118" s="452"/>
      <c r="I2118" s="453" t="s">
        <v>844</v>
      </c>
      <c r="J2118" s="453"/>
      <c r="K2118" s="461"/>
      <c r="L2118" s="461"/>
      <c r="M2118" s="461"/>
      <c r="N2118" s="461"/>
      <c r="O2118" s="461"/>
      <c r="P2118" s="461"/>
      <c r="Q2118" s="461"/>
      <c r="R2118" s="461"/>
      <c r="S2118" s="461"/>
      <c r="T2118" s="461"/>
      <c r="U2118" s="461"/>
      <c r="V2118" s="461"/>
    </row>
    <row r="2119" spans="1:22" s="455" customFormat="1" hidden="1">
      <c r="A2119" s="455" t="str">
        <f t="shared" si="66"/>
        <v>T</v>
      </c>
      <c r="B2119" s="455">
        <f>VLOOKUP(LEFT($C$3:$C$2600,3),Table!$D$2:$E$88,2,FALSE)</f>
        <v>0</v>
      </c>
      <c r="C2119" s="455" t="str">
        <f t="shared" si="67"/>
        <v>T</v>
      </c>
      <c r="D2119" s="455" t="e">
        <f>VLOOKUP(G2119,Table!$G$3:$H$21,2,FALSE)</f>
        <v>#N/A</v>
      </c>
      <c r="E2119" s="452"/>
      <c r="F2119" s="452"/>
      <c r="G2119" s="452" t="s">
        <v>844</v>
      </c>
      <c r="H2119" s="452"/>
      <c r="I2119" s="453" t="s">
        <v>844</v>
      </c>
      <c r="J2119" s="453"/>
      <c r="K2119" s="461"/>
      <c r="L2119" s="461"/>
      <c r="M2119" s="461"/>
      <c r="N2119" s="461"/>
      <c r="O2119" s="461"/>
      <c r="P2119" s="461"/>
      <c r="Q2119" s="461"/>
      <c r="R2119" s="461"/>
      <c r="S2119" s="461"/>
      <c r="T2119" s="461"/>
      <c r="U2119" s="461"/>
      <c r="V2119" s="461"/>
    </row>
    <row r="2120" spans="1:22" s="455" customFormat="1" hidden="1">
      <c r="A2120" s="455" t="str">
        <f t="shared" si="66"/>
        <v>T</v>
      </c>
      <c r="B2120" s="455">
        <f>VLOOKUP(LEFT($C$3:$C$2600,3),Table!$D$2:$E$88,2,FALSE)</f>
        <v>0</v>
      </c>
      <c r="C2120" s="455" t="str">
        <f t="shared" si="67"/>
        <v>T</v>
      </c>
      <c r="D2120" s="455" t="e">
        <f>VLOOKUP(G2120,Table!$G$3:$H$21,2,FALSE)</f>
        <v>#N/A</v>
      </c>
      <c r="E2120" s="452"/>
      <c r="F2120" s="452"/>
      <c r="G2120" s="452" t="s">
        <v>844</v>
      </c>
      <c r="H2120" s="452"/>
      <c r="I2120" s="453" t="s">
        <v>844</v>
      </c>
      <c r="J2120" s="453"/>
      <c r="K2120" s="461"/>
      <c r="L2120" s="461"/>
      <c r="M2120" s="461"/>
      <c r="N2120" s="461"/>
      <c r="O2120" s="461"/>
      <c r="P2120" s="461"/>
      <c r="Q2120" s="461"/>
      <c r="R2120" s="461"/>
      <c r="S2120" s="461"/>
      <c r="T2120" s="461"/>
      <c r="U2120" s="461"/>
      <c r="V2120" s="461"/>
    </row>
    <row r="2121" spans="1:22" s="455" customFormat="1" hidden="1">
      <c r="A2121" s="455" t="str">
        <f t="shared" si="66"/>
        <v>T</v>
      </c>
      <c r="B2121" s="455">
        <f>VLOOKUP(LEFT($C$3:$C$2600,3),Table!$D$2:$E$88,2,FALSE)</f>
        <v>0</v>
      </c>
      <c r="C2121" s="455" t="str">
        <f t="shared" si="67"/>
        <v>T</v>
      </c>
      <c r="D2121" s="455" t="e">
        <f>VLOOKUP(G2121,Table!$G$3:$H$21,2,FALSE)</f>
        <v>#N/A</v>
      </c>
      <c r="E2121" s="452"/>
      <c r="F2121" s="452"/>
      <c r="G2121" s="452" t="s">
        <v>844</v>
      </c>
      <c r="H2121" s="452"/>
      <c r="I2121" s="453" t="s">
        <v>844</v>
      </c>
      <c r="J2121" s="453"/>
      <c r="K2121" s="461"/>
      <c r="L2121" s="461"/>
      <c r="M2121" s="461"/>
      <c r="N2121" s="461"/>
      <c r="O2121" s="461"/>
      <c r="P2121" s="461"/>
      <c r="Q2121" s="461"/>
      <c r="R2121" s="461"/>
      <c r="S2121" s="461"/>
      <c r="T2121" s="461"/>
      <c r="U2121" s="461"/>
      <c r="V2121" s="461"/>
    </row>
    <row r="2122" spans="1:22" s="455" customFormat="1" hidden="1">
      <c r="A2122" s="455" t="str">
        <f t="shared" si="66"/>
        <v>T</v>
      </c>
      <c r="B2122" s="455">
        <f>VLOOKUP(LEFT($C$3:$C$2600,3),Table!$D$2:$E$88,2,FALSE)</f>
        <v>0</v>
      </c>
      <c r="C2122" s="455" t="str">
        <f t="shared" si="67"/>
        <v>T</v>
      </c>
      <c r="D2122" s="455" t="e">
        <f>VLOOKUP(G2122,Table!$G$3:$H$21,2,FALSE)</f>
        <v>#N/A</v>
      </c>
      <c r="E2122" s="452"/>
      <c r="F2122" s="452"/>
      <c r="G2122" s="452" t="s">
        <v>844</v>
      </c>
      <c r="H2122" s="452"/>
      <c r="I2122" s="453" t="s">
        <v>844</v>
      </c>
      <c r="J2122" s="453"/>
      <c r="K2122" s="461"/>
      <c r="L2122" s="461"/>
      <c r="M2122" s="461"/>
      <c r="N2122" s="461"/>
      <c r="O2122" s="461"/>
      <c r="P2122" s="461"/>
      <c r="Q2122" s="461"/>
      <c r="R2122" s="461"/>
      <c r="S2122" s="461"/>
      <c r="T2122" s="461"/>
      <c r="U2122" s="461"/>
      <c r="V2122" s="461"/>
    </row>
    <row r="2123" spans="1:22" s="455" customFormat="1" hidden="1">
      <c r="A2123" s="455" t="str">
        <f t="shared" si="66"/>
        <v>T</v>
      </c>
      <c r="B2123" s="455">
        <f>VLOOKUP(LEFT($C$3:$C$2600,3),Table!$D$2:$E$88,2,FALSE)</f>
        <v>0</v>
      </c>
      <c r="C2123" s="455" t="str">
        <f t="shared" si="67"/>
        <v>T</v>
      </c>
      <c r="D2123" s="455" t="e">
        <f>VLOOKUP(G2123,Table!$G$3:$H$21,2,FALSE)</f>
        <v>#N/A</v>
      </c>
      <c r="E2123" s="452"/>
      <c r="F2123" s="452"/>
      <c r="G2123" s="452" t="s">
        <v>844</v>
      </c>
      <c r="H2123" s="452"/>
      <c r="I2123" s="453" t="s">
        <v>844</v>
      </c>
      <c r="J2123" s="453"/>
      <c r="K2123" s="461"/>
      <c r="L2123" s="461"/>
      <c r="M2123" s="461"/>
      <c r="N2123" s="461"/>
      <c r="O2123" s="461"/>
      <c r="P2123" s="461"/>
      <c r="Q2123" s="461"/>
      <c r="R2123" s="461"/>
      <c r="S2123" s="461"/>
      <c r="T2123" s="461"/>
      <c r="U2123" s="461"/>
      <c r="V2123" s="461"/>
    </row>
    <row r="2124" spans="1:22" s="455" customFormat="1" hidden="1">
      <c r="A2124" s="455" t="str">
        <f t="shared" si="66"/>
        <v>T</v>
      </c>
      <c r="B2124" s="455">
        <f>VLOOKUP(LEFT($C$3:$C$2600,3),Table!$D$2:$E$88,2,FALSE)</f>
        <v>0</v>
      </c>
      <c r="C2124" s="455" t="str">
        <f t="shared" si="67"/>
        <v>T</v>
      </c>
      <c r="D2124" s="455" t="e">
        <f>VLOOKUP(G2124,Table!$G$3:$H$21,2,FALSE)</f>
        <v>#N/A</v>
      </c>
      <c r="E2124" s="452"/>
      <c r="F2124" s="452"/>
      <c r="G2124" s="452" t="s">
        <v>844</v>
      </c>
      <c r="H2124" s="452"/>
      <c r="I2124" s="453" t="s">
        <v>844</v>
      </c>
      <c r="J2124" s="453"/>
      <c r="K2124" s="461"/>
      <c r="L2124" s="461"/>
      <c r="M2124" s="461"/>
      <c r="N2124" s="461"/>
      <c r="O2124" s="461"/>
      <c r="P2124" s="461"/>
      <c r="Q2124" s="461"/>
      <c r="R2124" s="461"/>
      <c r="S2124" s="461"/>
      <c r="T2124" s="461"/>
      <c r="U2124" s="461"/>
      <c r="V2124" s="461"/>
    </row>
    <row r="2125" spans="1:22" s="455" customFormat="1" hidden="1">
      <c r="A2125" s="455" t="str">
        <f t="shared" si="66"/>
        <v>T</v>
      </c>
      <c r="B2125" s="455">
        <f>VLOOKUP(LEFT($C$3:$C$2600,3),Table!$D$2:$E$88,2,FALSE)</f>
        <v>0</v>
      </c>
      <c r="C2125" s="455" t="str">
        <f t="shared" si="67"/>
        <v>T</v>
      </c>
      <c r="D2125" s="455" t="e">
        <f>VLOOKUP(G2125,Table!$G$3:$H$21,2,FALSE)</f>
        <v>#N/A</v>
      </c>
      <c r="E2125" s="452"/>
      <c r="F2125" s="452"/>
      <c r="G2125" s="452" t="s">
        <v>844</v>
      </c>
      <c r="H2125" s="452"/>
      <c r="I2125" s="453" t="s">
        <v>844</v>
      </c>
      <c r="J2125" s="453"/>
      <c r="K2125" s="461"/>
      <c r="L2125" s="461"/>
      <c r="M2125" s="461"/>
      <c r="N2125" s="461"/>
      <c r="O2125" s="461"/>
      <c r="P2125" s="461"/>
      <c r="Q2125" s="461"/>
      <c r="R2125" s="461"/>
      <c r="S2125" s="461"/>
      <c r="T2125" s="461"/>
      <c r="U2125" s="461"/>
      <c r="V2125" s="461"/>
    </row>
    <row r="2126" spans="1:22" s="455" customFormat="1" hidden="1">
      <c r="A2126" s="455" t="str">
        <f t="shared" si="66"/>
        <v>T</v>
      </c>
      <c r="B2126" s="455">
        <f>VLOOKUP(LEFT($C$3:$C$2600,3),Table!$D$2:$E$88,2,FALSE)</f>
        <v>0</v>
      </c>
      <c r="C2126" s="455" t="str">
        <f t="shared" si="67"/>
        <v>T</v>
      </c>
      <c r="D2126" s="455" t="e">
        <f>VLOOKUP(G2126,Table!$G$3:$H$21,2,FALSE)</f>
        <v>#N/A</v>
      </c>
      <c r="E2126" s="452"/>
      <c r="F2126" s="452"/>
      <c r="G2126" s="452" t="s">
        <v>844</v>
      </c>
      <c r="H2126" s="452"/>
      <c r="I2126" s="453" t="s">
        <v>844</v>
      </c>
      <c r="J2126" s="453"/>
      <c r="K2126" s="461"/>
      <c r="L2126" s="461"/>
      <c r="M2126" s="461"/>
      <c r="N2126" s="461"/>
      <c r="O2126" s="461"/>
      <c r="P2126" s="461"/>
      <c r="Q2126" s="461"/>
      <c r="R2126" s="461"/>
      <c r="S2126" s="461"/>
      <c r="T2126" s="461"/>
      <c r="U2126" s="461"/>
      <c r="V2126" s="461"/>
    </row>
    <row r="2127" spans="1:22" s="455" customFormat="1" hidden="1">
      <c r="A2127" s="455" t="str">
        <f t="shared" si="66"/>
        <v>T</v>
      </c>
      <c r="B2127" s="455">
        <f>VLOOKUP(LEFT($C$3:$C$2600,3),Table!$D$2:$E$88,2,FALSE)</f>
        <v>0</v>
      </c>
      <c r="C2127" s="455" t="str">
        <f t="shared" si="67"/>
        <v>T</v>
      </c>
      <c r="D2127" s="455" t="e">
        <f>VLOOKUP(G2127,Table!$G$3:$H$21,2,FALSE)</f>
        <v>#N/A</v>
      </c>
      <c r="E2127" s="452"/>
      <c r="F2127" s="452"/>
      <c r="G2127" s="452" t="s">
        <v>844</v>
      </c>
      <c r="H2127" s="452"/>
      <c r="I2127" s="453" t="s">
        <v>844</v>
      </c>
      <c r="J2127" s="453"/>
      <c r="K2127" s="461"/>
      <c r="L2127" s="461"/>
      <c r="M2127" s="461"/>
      <c r="N2127" s="461"/>
      <c r="O2127" s="461"/>
      <c r="P2127" s="461"/>
      <c r="Q2127" s="461"/>
      <c r="R2127" s="461"/>
      <c r="S2127" s="461"/>
      <c r="T2127" s="461"/>
      <c r="U2127" s="461"/>
      <c r="V2127" s="461"/>
    </row>
    <row r="2128" spans="1:22" s="455" customFormat="1" hidden="1">
      <c r="A2128" s="455" t="str">
        <f t="shared" si="66"/>
        <v>T</v>
      </c>
      <c r="B2128" s="455">
        <f>VLOOKUP(LEFT($C$3:$C$2600,3),Table!$D$2:$E$88,2,FALSE)</f>
        <v>0</v>
      </c>
      <c r="C2128" s="455" t="str">
        <f t="shared" si="67"/>
        <v>T</v>
      </c>
      <c r="D2128" s="455" t="e">
        <f>VLOOKUP(G2128,Table!$G$3:$H$21,2,FALSE)</f>
        <v>#N/A</v>
      </c>
      <c r="E2128" s="452"/>
      <c r="F2128" s="452"/>
      <c r="G2128" s="452" t="s">
        <v>844</v>
      </c>
      <c r="H2128" s="452"/>
      <c r="I2128" s="453" t="s">
        <v>844</v>
      </c>
      <c r="J2128" s="453"/>
      <c r="K2128" s="461"/>
      <c r="L2128" s="461"/>
      <c r="M2128" s="461"/>
      <c r="N2128" s="461"/>
      <c r="O2128" s="461"/>
      <c r="P2128" s="461"/>
      <c r="Q2128" s="461"/>
      <c r="R2128" s="461"/>
      <c r="S2128" s="461"/>
      <c r="T2128" s="461"/>
      <c r="U2128" s="461"/>
      <c r="V2128" s="461"/>
    </row>
    <row r="2129" spans="1:22" s="455" customFormat="1" hidden="1">
      <c r="A2129" s="455" t="str">
        <f t="shared" si="66"/>
        <v>T</v>
      </c>
      <c r="B2129" s="455">
        <f>VLOOKUP(LEFT($C$3:$C$2600,3),Table!$D$2:$E$88,2,FALSE)</f>
        <v>0</v>
      </c>
      <c r="C2129" s="455" t="str">
        <f t="shared" si="67"/>
        <v>T</v>
      </c>
      <c r="D2129" s="455" t="e">
        <f>VLOOKUP(G2129,Table!$G$3:$H$21,2,FALSE)</f>
        <v>#N/A</v>
      </c>
      <c r="E2129" s="452"/>
      <c r="F2129" s="452"/>
      <c r="G2129" s="452" t="s">
        <v>844</v>
      </c>
      <c r="H2129" s="452"/>
      <c r="I2129" s="453" t="s">
        <v>844</v>
      </c>
      <c r="J2129" s="453"/>
      <c r="K2129" s="461"/>
      <c r="L2129" s="461"/>
      <c r="M2129" s="461"/>
      <c r="N2129" s="461"/>
      <c r="O2129" s="461"/>
      <c r="P2129" s="461"/>
      <c r="Q2129" s="461"/>
      <c r="R2129" s="461"/>
      <c r="S2129" s="461"/>
      <c r="T2129" s="461"/>
      <c r="U2129" s="461"/>
      <c r="V2129" s="461"/>
    </row>
    <row r="2130" spans="1:22" s="455" customFormat="1" hidden="1">
      <c r="A2130" s="455" t="str">
        <f t="shared" si="66"/>
        <v>T</v>
      </c>
      <c r="B2130" s="455">
        <f>VLOOKUP(LEFT($C$3:$C$2600,3),Table!$D$2:$E$88,2,FALSE)</f>
        <v>0</v>
      </c>
      <c r="C2130" s="455" t="str">
        <f t="shared" si="67"/>
        <v>T</v>
      </c>
      <c r="D2130" s="455" t="e">
        <f>VLOOKUP(G2130,Table!$G$3:$H$21,2,FALSE)</f>
        <v>#N/A</v>
      </c>
      <c r="E2130" s="452"/>
      <c r="F2130" s="452"/>
      <c r="G2130" s="452" t="s">
        <v>844</v>
      </c>
      <c r="H2130" s="452"/>
      <c r="I2130" s="453" t="s">
        <v>844</v>
      </c>
      <c r="J2130" s="453"/>
      <c r="K2130" s="461"/>
      <c r="L2130" s="461"/>
      <c r="M2130" s="461"/>
      <c r="N2130" s="461"/>
      <c r="O2130" s="461"/>
      <c r="P2130" s="461"/>
      <c r="Q2130" s="461"/>
      <c r="R2130" s="461"/>
      <c r="S2130" s="461"/>
      <c r="T2130" s="461"/>
      <c r="U2130" s="461"/>
      <c r="V2130" s="461"/>
    </row>
    <row r="2131" spans="1:22" s="455" customFormat="1" hidden="1">
      <c r="A2131" s="455" t="str">
        <f t="shared" si="66"/>
        <v>T</v>
      </c>
      <c r="B2131" s="455">
        <f>VLOOKUP(LEFT($C$3:$C$2600,3),Table!$D$2:$E$88,2,FALSE)</f>
        <v>0</v>
      </c>
      <c r="C2131" s="455" t="str">
        <f t="shared" si="67"/>
        <v>T</v>
      </c>
      <c r="D2131" s="455" t="e">
        <f>VLOOKUP(G2131,Table!$G$3:$H$21,2,FALSE)</f>
        <v>#N/A</v>
      </c>
      <c r="E2131" s="452"/>
      <c r="F2131" s="452"/>
      <c r="G2131" s="452" t="s">
        <v>844</v>
      </c>
      <c r="H2131" s="452"/>
      <c r="I2131" s="453" t="s">
        <v>844</v>
      </c>
      <c r="J2131" s="453"/>
      <c r="K2131" s="461"/>
      <c r="L2131" s="461"/>
      <c r="M2131" s="461"/>
      <c r="N2131" s="461"/>
      <c r="O2131" s="461"/>
      <c r="P2131" s="461"/>
      <c r="Q2131" s="461"/>
      <c r="R2131" s="461"/>
      <c r="S2131" s="461"/>
      <c r="T2131" s="461"/>
      <c r="U2131" s="461"/>
      <c r="V2131" s="461"/>
    </row>
    <row r="2132" spans="1:22" s="455" customFormat="1" hidden="1">
      <c r="A2132" s="455" t="str">
        <f t="shared" si="66"/>
        <v>T</v>
      </c>
      <c r="B2132" s="455">
        <f>VLOOKUP(LEFT($C$3:$C$2600,3),Table!$D$2:$E$88,2,FALSE)</f>
        <v>0</v>
      </c>
      <c r="C2132" s="455" t="str">
        <f t="shared" si="67"/>
        <v>T</v>
      </c>
      <c r="D2132" s="455" t="e">
        <f>VLOOKUP(G2132,Table!$G$3:$H$21,2,FALSE)</f>
        <v>#N/A</v>
      </c>
      <c r="E2132" s="452"/>
      <c r="F2132" s="452"/>
      <c r="G2132" s="452" t="s">
        <v>844</v>
      </c>
      <c r="H2132" s="452"/>
      <c r="I2132" s="453" t="s">
        <v>844</v>
      </c>
      <c r="J2132" s="453"/>
      <c r="K2132" s="461"/>
      <c r="L2132" s="461"/>
      <c r="M2132" s="461"/>
      <c r="N2132" s="461"/>
      <c r="O2132" s="461"/>
      <c r="P2132" s="461"/>
      <c r="Q2132" s="461"/>
      <c r="R2132" s="461"/>
      <c r="S2132" s="461"/>
      <c r="T2132" s="461"/>
      <c r="U2132" s="461"/>
      <c r="V2132" s="461"/>
    </row>
    <row r="2133" spans="1:22" s="455" customFormat="1" hidden="1">
      <c r="A2133" s="455" t="str">
        <f t="shared" si="66"/>
        <v>T</v>
      </c>
      <c r="B2133" s="455">
        <f>VLOOKUP(LEFT($C$3:$C$2600,3),Table!$D$2:$E$88,2,FALSE)</f>
        <v>0</v>
      </c>
      <c r="C2133" s="455" t="str">
        <f t="shared" si="67"/>
        <v>T</v>
      </c>
      <c r="D2133" s="455" t="e">
        <f>VLOOKUP(G2133,Table!$G$3:$H$21,2,FALSE)</f>
        <v>#N/A</v>
      </c>
      <c r="E2133" s="452"/>
      <c r="F2133" s="452"/>
      <c r="G2133" s="452" t="s">
        <v>844</v>
      </c>
      <c r="H2133" s="452"/>
      <c r="I2133" s="453" t="s">
        <v>844</v>
      </c>
      <c r="J2133" s="453"/>
      <c r="K2133" s="461"/>
      <c r="L2133" s="461"/>
      <c r="M2133" s="461"/>
      <c r="N2133" s="461"/>
      <c r="O2133" s="461"/>
      <c r="P2133" s="461"/>
      <c r="Q2133" s="461"/>
      <c r="R2133" s="461"/>
      <c r="S2133" s="461"/>
      <c r="T2133" s="461"/>
      <c r="U2133" s="461"/>
      <c r="V2133" s="461"/>
    </row>
    <row r="2134" spans="1:22" s="455" customFormat="1" hidden="1">
      <c r="A2134" s="455" t="str">
        <f t="shared" si="66"/>
        <v>T</v>
      </c>
      <c r="B2134" s="455">
        <f>VLOOKUP(LEFT($C$3:$C$2600,3),Table!$D$2:$E$88,2,FALSE)</f>
        <v>0</v>
      </c>
      <c r="C2134" s="455" t="str">
        <f t="shared" si="67"/>
        <v>T</v>
      </c>
      <c r="D2134" s="455" t="e">
        <f>VLOOKUP(G2134,Table!$G$3:$H$21,2,FALSE)</f>
        <v>#N/A</v>
      </c>
      <c r="E2134" s="452"/>
      <c r="F2134" s="452"/>
      <c r="G2134" s="452" t="s">
        <v>844</v>
      </c>
      <c r="H2134" s="452"/>
      <c r="I2134" s="453" t="s">
        <v>844</v>
      </c>
      <c r="J2134" s="453"/>
      <c r="K2134" s="461"/>
      <c r="L2134" s="461"/>
      <c r="M2134" s="461"/>
      <c r="N2134" s="461"/>
      <c r="O2134" s="461"/>
      <c r="P2134" s="461"/>
      <c r="Q2134" s="461"/>
      <c r="R2134" s="461"/>
      <c r="S2134" s="461"/>
      <c r="T2134" s="461"/>
      <c r="U2134" s="461"/>
      <c r="V2134" s="461"/>
    </row>
    <row r="2135" spans="1:22" s="455" customFormat="1" hidden="1">
      <c r="A2135" s="455" t="str">
        <f t="shared" si="66"/>
        <v>T</v>
      </c>
      <c r="B2135" s="455">
        <f>VLOOKUP(LEFT($C$3:$C$2600,3),Table!$D$2:$E$88,2,FALSE)</f>
        <v>0</v>
      </c>
      <c r="C2135" s="455" t="str">
        <f t="shared" si="67"/>
        <v>T</v>
      </c>
      <c r="D2135" s="455" t="e">
        <f>VLOOKUP(G2135,Table!$G$3:$H$21,2,FALSE)</f>
        <v>#N/A</v>
      </c>
      <c r="E2135" s="452"/>
      <c r="F2135" s="452"/>
      <c r="G2135" s="452" t="s">
        <v>844</v>
      </c>
      <c r="H2135" s="452"/>
      <c r="I2135" s="453" t="s">
        <v>844</v>
      </c>
      <c r="J2135" s="453"/>
      <c r="K2135" s="461"/>
      <c r="L2135" s="461"/>
      <c r="M2135" s="461"/>
      <c r="N2135" s="461"/>
      <c r="O2135" s="461"/>
      <c r="P2135" s="461"/>
      <c r="Q2135" s="461"/>
      <c r="R2135" s="461"/>
      <c r="S2135" s="461"/>
      <c r="T2135" s="461"/>
      <c r="U2135" s="461"/>
      <c r="V2135" s="461"/>
    </row>
    <row r="2136" spans="1:22" s="455" customFormat="1" hidden="1">
      <c r="A2136" s="455" t="str">
        <f t="shared" si="66"/>
        <v>T</v>
      </c>
      <c r="B2136" s="455">
        <f>VLOOKUP(LEFT($C$3:$C$2600,3),Table!$D$2:$E$88,2,FALSE)</f>
        <v>0</v>
      </c>
      <c r="C2136" s="455" t="str">
        <f t="shared" si="67"/>
        <v>T</v>
      </c>
      <c r="D2136" s="455" t="e">
        <f>VLOOKUP(G2136,Table!$G$3:$H$21,2,FALSE)</f>
        <v>#N/A</v>
      </c>
      <c r="E2136" s="452"/>
      <c r="F2136" s="452"/>
      <c r="G2136" s="452" t="s">
        <v>844</v>
      </c>
      <c r="H2136" s="452"/>
      <c r="I2136" s="453" t="s">
        <v>844</v>
      </c>
      <c r="J2136" s="453"/>
      <c r="K2136" s="461"/>
      <c r="L2136" s="461"/>
      <c r="M2136" s="461"/>
      <c r="N2136" s="461"/>
      <c r="O2136" s="461"/>
      <c r="P2136" s="461"/>
      <c r="Q2136" s="461"/>
      <c r="R2136" s="461"/>
      <c r="S2136" s="461"/>
      <c r="T2136" s="461"/>
      <c r="U2136" s="461"/>
      <c r="V2136" s="461"/>
    </row>
    <row r="2137" spans="1:22" s="455" customFormat="1" hidden="1">
      <c r="A2137" s="455" t="str">
        <f t="shared" si="66"/>
        <v>T</v>
      </c>
      <c r="B2137" s="455">
        <f>VLOOKUP(LEFT($C$3:$C$2600,3),Table!$D$2:$E$88,2,FALSE)</f>
        <v>0</v>
      </c>
      <c r="C2137" s="455" t="str">
        <f t="shared" si="67"/>
        <v>T</v>
      </c>
      <c r="D2137" s="455" t="e">
        <f>VLOOKUP(G2137,Table!$G$3:$H$21,2,FALSE)</f>
        <v>#N/A</v>
      </c>
      <c r="E2137" s="452"/>
      <c r="F2137" s="452"/>
      <c r="G2137" s="452" t="s">
        <v>844</v>
      </c>
      <c r="H2137" s="452"/>
      <c r="I2137" s="453" t="s">
        <v>844</v>
      </c>
      <c r="J2137" s="453"/>
      <c r="K2137" s="461"/>
      <c r="L2137" s="461"/>
      <c r="M2137" s="461"/>
      <c r="N2137" s="461"/>
      <c r="O2137" s="461"/>
      <c r="P2137" s="461"/>
      <c r="Q2137" s="461"/>
      <c r="R2137" s="461"/>
      <c r="S2137" s="461"/>
      <c r="T2137" s="461"/>
      <c r="U2137" s="461"/>
      <c r="V2137" s="461"/>
    </row>
    <row r="2138" spans="1:22" s="455" customFormat="1" hidden="1">
      <c r="A2138" s="455" t="str">
        <f t="shared" si="66"/>
        <v>T</v>
      </c>
      <c r="B2138" s="455">
        <f>VLOOKUP(LEFT($C$3:$C$2600,3),Table!$D$2:$E$88,2,FALSE)</f>
        <v>0</v>
      </c>
      <c r="C2138" s="455" t="str">
        <f t="shared" si="67"/>
        <v>T</v>
      </c>
      <c r="D2138" s="455" t="e">
        <f>VLOOKUP(G2138,Table!$G$3:$H$21,2,FALSE)</f>
        <v>#N/A</v>
      </c>
      <c r="E2138" s="452"/>
      <c r="F2138" s="452"/>
      <c r="G2138" s="452" t="s">
        <v>844</v>
      </c>
      <c r="H2138" s="452"/>
      <c r="I2138" s="453" t="s">
        <v>844</v>
      </c>
      <c r="J2138" s="453"/>
      <c r="K2138" s="461"/>
      <c r="L2138" s="461"/>
      <c r="M2138" s="461"/>
      <c r="N2138" s="461"/>
      <c r="O2138" s="461"/>
      <c r="P2138" s="461"/>
      <c r="Q2138" s="461"/>
      <c r="R2138" s="461"/>
      <c r="S2138" s="461"/>
      <c r="T2138" s="461"/>
      <c r="U2138" s="461"/>
      <c r="V2138" s="461"/>
    </row>
    <row r="2139" spans="1:22" s="455" customFormat="1" hidden="1">
      <c r="A2139" s="455" t="str">
        <f t="shared" si="66"/>
        <v>T</v>
      </c>
      <c r="B2139" s="455">
        <f>VLOOKUP(LEFT($C$3:$C$2600,3),Table!$D$2:$E$88,2,FALSE)</f>
        <v>0</v>
      </c>
      <c r="C2139" s="455" t="str">
        <f t="shared" si="67"/>
        <v>T</v>
      </c>
      <c r="D2139" s="455" t="e">
        <f>VLOOKUP(G2139,Table!$G$3:$H$21,2,FALSE)</f>
        <v>#N/A</v>
      </c>
      <c r="E2139" s="452"/>
      <c r="F2139" s="452"/>
      <c r="G2139" s="452" t="s">
        <v>844</v>
      </c>
      <c r="H2139" s="452"/>
      <c r="I2139" s="453" t="s">
        <v>844</v>
      </c>
      <c r="J2139" s="453"/>
      <c r="K2139" s="461"/>
      <c r="L2139" s="461"/>
      <c r="M2139" s="461"/>
      <c r="N2139" s="461"/>
      <c r="O2139" s="461"/>
      <c r="P2139" s="461"/>
      <c r="Q2139" s="461"/>
      <c r="R2139" s="461"/>
      <c r="S2139" s="461"/>
      <c r="T2139" s="461"/>
      <c r="U2139" s="461"/>
      <c r="V2139" s="461"/>
    </row>
    <row r="2140" spans="1:22" s="455" customFormat="1" hidden="1">
      <c r="A2140" s="455" t="str">
        <f t="shared" si="66"/>
        <v>T</v>
      </c>
      <c r="B2140" s="455">
        <f>VLOOKUP(LEFT($C$3:$C$2600,3),Table!$D$2:$E$88,2,FALSE)</f>
        <v>0</v>
      </c>
      <c r="C2140" s="455" t="str">
        <f t="shared" si="67"/>
        <v>T</v>
      </c>
      <c r="D2140" s="455" t="e">
        <f>VLOOKUP(G2140,Table!$G$3:$H$21,2,FALSE)</f>
        <v>#N/A</v>
      </c>
      <c r="E2140" s="452"/>
      <c r="F2140" s="452"/>
      <c r="G2140" s="452" t="s">
        <v>844</v>
      </c>
      <c r="H2140" s="452"/>
      <c r="I2140" s="453" t="s">
        <v>844</v>
      </c>
      <c r="J2140" s="453"/>
      <c r="K2140" s="461"/>
      <c r="L2140" s="461"/>
      <c r="M2140" s="461"/>
      <c r="N2140" s="461"/>
      <c r="O2140" s="461"/>
      <c r="P2140" s="461"/>
      <c r="Q2140" s="461"/>
      <c r="R2140" s="461"/>
      <c r="S2140" s="461"/>
      <c r="T2140" s="461"/>
      <c r="U2140" s="461"/>
      <c r="V2140" s="461"/>
    </row>
    <row r="2141" spans="1:22" s="455" customFormat="1" hidden="1">
      <c r="A2141" s="455" t="str">
        <f t="shared" si="66"/>
        <v>T</v>
      </c>
      <c r="B2141" s="455">
        <f>VLOOKUP(LEFT($C$3:$C$2600,3),Table!$D$2:$E$88,2,FALSE)</f>
        <v>0</v>
      </c>
      <c r="C2141" s="455" t="str">
        <f t="shared" si="67"/>
        <v>T</v>
      </c>
      <c r="D2141" s="455" t="e">
        <f>VLOOKUP(G2141,Table!$G$3:$H$21,2,FALSE)</f>
        <v>#N/A</v>
      </c>
      <c r="E2141" s="452"/>
      <c r="F2141" s="452"/>
      <c r="G2141" s="452" t="s">
        <v>844</v>
      </c>
      <c r="H2141" s="452"/>
      <c r="I2141" s="453" t="s">
        <v>844</v>
      </c>
      <c r="J2141" s="453"/>
      <c r="K2141" s="461"/>
      <c r="L2141" s="461"/>
      <c r="M2141" s="461"/>
      <c r="N2141" s="461"/>
      <c r="O2141" s="461"/>
      <c r="P2141" s="461"/>
      <c r="Q2141" s="461"/>
      <c r="R2141" s="461"/>
      <c r="S2141" s="461"/>
      <c r="T2141" s="461"/>
      <c r="U2141" s="461"/>
      <c r="V2141" s="461"/>
    </row>
    <row r="2142" spans="1:22" s="455" customFormat="1" hidden="1">
      <c r="A2142" s="455" t="str">
        <f t="shared" si="66"/>
        <v>T</v>
      </c>
      <c r="B2142" s="455">
        <f>VLOOKUP(LEFT($C$3:$C$2600,3),Table!$D$2:$E$88,2,FALSE)</f>
        <v>0</v>
      </c>
      <c r="C2142" s="455" t="str">
        <f t="shared" si="67"/>
        <v>T</v>
      </c>
      <c r="D2142" s="455" t="e">
        <f>VLOOKUP(G2142,Table!$G$3:$H$21,2,FALSE)</f>
        <v>#N/A</v>
      </c>
      <c r="E2142" s="452"/>
      <c r="F2142" s="452"/>
      <c r="G2142" s="452" t="s">
        <v>844</v>
      </c>
      <c r="H2142" s="452"/>
      <c r="I2142" s="453" t="s">
        <v>844</v>
      </c>
      <c r="J2142" s="453"/>
      <c r="K2142" s="461"/>
      <c r="L2142" s="461"/>
      <c r="M2142" s="461"/>
      <c r="N2142" s="461"/>
      <c r="O2142" s="461"/>
      <c r="P2142" s="461"/>
      <c r="Q2142" s="461"/>
      <c r="R2142" s="461"/>
      <c r="S2142" s="461"/>
      <c r="T2142" s="461"/>
      <c r="U2142" s="461"/>
      <c r="V2142" s="461"/>
    </row>
    <row r="2143" spans="1:22" s="455" customFormat="1" hidden="1">
      <c r="A2143" s="455" t="str">
        <f t="shared" si="66"/>
        <v>T</v>
      </c>
      <c r="B2143" s="455">
        <f>VLOOKUP(LEFT($C$3:$C$2600,3),Table!$D$2:$E$88,2,FALSE)</f>
        <v>0</v>
      </c>
      <c r="C2143" s="455" t="str">
        <f t="shared" si="67"/>
        <v>T</v>
      </c>
      <c r="D2143" s="455" t="e">
        <f>VLOOKUP(G2143,Table!$G$3:$H$21,2,FALSE)</f>
        <v>#N/A</v>
      </c>
      <c r="E2143" s="452"/>
      <c r="F2143" s="452"/>
      <c r="G2143" s="452" t="s">
        <v>844</v>
      </c>
      <c r="H2143" s="452"/>
      <c r="I2143" s="453" t="s">
        <v>844</v>
      </c>
      <c r="J2143" s="453"/>
      <c r="K2143" s="461"/>
      <c r="L2143" s="461"/>
      <c r="M2143" s="461"/>
      <c r="N2143" s="461"/>
      <c r="O2143" s="461"/>
      <c r="P2143" s="461"/>
      <c r="Q2143" s="461"/>
      <c r="R2143" s="461"/>
      <c r="S2143" s="461"/>
      <c r="T2143" s="461"/>
      <c r="U2143" s="461"/>
      <c r="V2143" s="461"/>
    </row>
    <row r="2144" spans="1:22" s="455" customFormat="1" hidden="1">
      <c r="A2144" s="455" t="str">
        <f t="shared" si="66"/>
        <v>T</v>
      </c>
      <c r="B2144" s="455">
        <f>VLOOKUP(LEFT($C$3:$C$2600,3),Table!$D$2:$E$88,2,FALSE)</f>
        <v>0</v>
      </c>
      <c r="C2144" s="455" t="str">
        <f t="shared" si="67"/>
        <v>T</v>
      </c>
      <c r="D2144" s="455" t="e">
        <f>VLOOKUP(G2144,Table!$G$3:$H$21,2,FALSE)</f>
        <v>#N/A</v>
      </c>
      <c r="E2144" s="452"/>
      <c r="F2144" s="452"/>
      <c r="G2144" s="452" t="s">
        <v>844</v>
      </c>
      <c r="H2144" s="452"/>
      <c r="I2144" s="453" t="s">
        <v>844</v>
      </c>
      <c r="J2144" s="453"/>
      <c r="K2144" s="461"/>
      <c r="L2144" s="461"/>
      <c r="M2144" s="461"/>
      <c r="N2144" s="461"/>
      <c r="O2144" s="461"/>
      <c r="P2144" s="461"/>
      <c r="Q2144" s="461"/>
      <c r="R2144" s="461"/>
      <c r="S2144" s="461"/>
      <c r="T2144" s="461"/>
      <c r="U2144" s="461"/>
      <c r="V2144" s="461"/>
    </row>
    <row r="2145" spans="1:22" s="455" customFormat="1" hidden="1">
      <c r="A2145" s="455" t="str">
        <f t="shared" si="66"/>
        <v>T</v>
      </c>
      <c r="B2145" s="455">
        <f>VLOOKUP(LEFT($C$3:$C$2600,3),Table!$D$2:$E$88,2,FALSE)</f>
        <v>0</v>
      </c>
      <c r="C2145" s="455" t="str">
        <f t="shared" si="67"/>
        <v>T</v>
      </c>
      <c r="D2145" s="455" t="e">
        <f>VLOOKUP(G2145,Table!$G$3:$H$21,2,FALSE)</f>
        <v>#N/A</v>
      </c>
      <c r="E2145" s="452"/>
      <c r="F2145" s="452"/>
      <c r="G2145" s="452" t="s">
        <v>844</v>
      </c>
      <c r="H2145" s="452"/>
      <c r="I2145" s="453" t="s">
        <v>844</v>
      </c>
      <c r="J2145" s="453"/>
      <c r="K2145" s="461"/>
      <c r="L2145" s="461"/>
      <c r="M2145" s="461"/>
      <c r="N2145" s="461"/>
      <c r="O2145" s="461"/>
      <c r="P2145" s="461"/>
      <c r="Q2145" s="461"/>
      <c r="R2145" s="461"/>
      <c r="S2145" s="461"/>
      <c r="T2145" s="461"/>
      <c r="U2145" s="461"/>
      <c r="V2145" s="461"/>
    </row>
    <row r="2146" spans="1:22" s="455" customFormat="1" hidden="1">
      <c r="A2146" s="455" t="str">
        <f t="shared" si="66"/>
        <v>T</v>
      </c>
      <c r="B2146" s="455">
        <f>VLOOKUP(LEFT($C$3:$C$2600,3),Table!$D$2:$E$88,2,FALSE)</f>
        <v>0</v>
      </c>
      <c r="C2146" s="455" t="str">
        <f t="shared" si="67"/>
        <v>T</v>
      </c>
      <c r="D2146" s="455" t="e">
        <f>VLOOKUP(G2146,Table!$G$3:$H$21,2,FALSE)</f>
        <v>#N/A</v>
      </c>
      <c r="E2146" s="452"/>
      <c r="F2146" s="452"/>
      <c r="G2146" s="452" t="s">
        <v>844</v>
      </c>
      <c r="H2146" s="452"/>
      <c r="I2146" s="453" t="s">
        <v>844</v>
      </c>
      <c r="J2146" s="453"/>
      <c r="K2146" s="461"/>
      <c r="L2146" s="461"/>
      <c r="M2146" s="461"/>
      <c r="N2146" s="461"/>
      <c r="O2146" s="461"/>
      <c r="P2146" s="461"/>
      <c r="Q2146" s="461"/>
      <c r="R2146" s="461"/>
      <c r="S2146" s="461"/>
      <c r="T2146" s="461"/>
      <c r="U2146" s="461"/>
      <c r="V2146" s="461"/>
    </row>
    <row r="2147" spans="1:22" s="455" customFormat="1" hidden="1">
      <c r="A2147" s="455" t="str">
        <f t="shared" si="66"/>
        <v>T</v>
      </c>
      <c r="B2147" s="455">
        <f>VLOOKUP(LEFT($C$3:$C$2600,3),Table!$D$2:$E$88,2,FALSE)</f>
        <v>0</v>
      </c>
      <c r="C2147" s="455" t="str">
        <f t="shared" si="67"/>
        <v>T</v>
      </c>
      <c r="D2147" s="455" t="e">
        <f>VLOOKUP(G2147,Table!$G$3:$H$21,2,FALSE)</f>
        <v>#N/A</v>
      </c>
      <c r="E2147" s="452"/>
      <c r="F2147" s="452"/>
      <c r="G2147" s="452" t="s">
        <v>844</v>
      </c>
      <c r="H2147" s="452"/>
      <c r="I2147" s="453" t="s">
        <v>844</v>
      </c>
      <c r="J2147" s="453"/>
      <c r="K2147" s="461"/>
      <c r="L2147" s="461"/>
      <c r="M2147" s="461"/>
      <c r="N2147" s="461"/>
      <c r="O2147" s="461"/>
      <c r="P2147" s="461"/>
      <c r="Q2147" s="461"/>
      <c r="R2147" s="461"/>
      <c r="S2147" s="461"/>
      <c r="T2147" s="461"/>
      <c r="U2147" s="461"/>
      <c r="V2147" s="461"/>
    </row>
    <row r="2148" spans="1:22" s="455" customFormat="1" hidden="1">
      <c r="A2148" s="455" t="str">
        <f t="shared" si="66"/>
        <v>T</v>
      </c>
      <c r="B2148" s="455">
        <f>VLOOKUP(LEFT($C$3:$C$2600,3),Table!$D$2:$E$88,2,FALSE)</f>
        <v>0</v>
      </c>
      <c r="C2148" s="455" t="str">
        <f t="shared" si="67"/>
        <v>T</v>
      </c>
      <c r="D2148" s="455" t="e">
        <f>VLOOKUP(G2148,Table!$G$3:$H$21,2,FALSE)</f>
        <v>#N/A</v>
      </c>
      <c r="E2148" s="452"/>
      <c r="F2148" s="452"/>
      <c r="G2148" s="452" t="s">
        <v>844</v>
      </c>
      <c r="H2148" s="452"/>
      <c r="I2148" s="453" t="s">
        <v>844</v>
      </c>
      <c r="J2148" s="453"/>
      <c r="K2148" s="461"/>
      <c r="L2148" s="461"/>
      <c r="M2148" s="461"/>
      <c r="N2148" s="461"/>
      <c r="O2148" s="461"/>
      <c r="P2148" s="461"/>
      <c r="Q2148" s="461"/>
      <c r="R2148" s="461"/>
      <c r="S2148" s="461"/>
      <c r="T2148" s="461"/>
      <c r="U2148" s="461"/>
      <c r="V2148" s="461"/>
    </row>
    <row r="2149" spans="1:22" s="455" customFormat="1" hidden="1">
      <c r="A2149" s="455" t="str">
        <f t="shared" si="66"/>
        <v>T</v>
      </c>
      <c r="B2149" s="455">
        <f>VLOOKUP(LEFT($C$3:$C$2600,3),Table!$D$2:$E$88,2,FALSE)</f>
        <v>0</v>
      </c>
      <c r="C2149" s="455" t="str">
        <f t="shared" si="67"/>
        <v>T</v>
      </c>
      <c r="D2149" s="455" t="e">
        <f>VLOOKUP(G2149,Table!$G$3:$H$21,2,FALSE)</f>
        <v>#N/A</v>
      </c>
      <c r="E2149" s="452"/>
      <c r="F2149" s="452"/>
      <c r="G2149" s="452" t="s">
        <v>844</v>
      </c>
      <c r="H2149" s="452"/>
      <c r="I2149" s="453" t="s">
        <v>844</v>
      </c>
      <c r="J2149" s="453"/>
      <c r="K2149" s="461"/>
      <c r="L2149" s="461"/>
      <c r="M2149" s="461"/>
      <c r="N2149" s="461"/>
      <c r="O2149" s="461"/>
      <c r="P2149" s="461"/>
      <c r="Q2149" s="461"/>
      <c r="R2149" s="461"/>
      <c r="S2149" s="461"/>
      <c r="T2149" s="461"/>
      <c r="U2149" s="461"/>
      <c r="V2149" s="461"/>
    </row>
    <row r="2150" spans="1:22" s="455" customFormat="1" hidden="1">
      <c r="A2150" s="455" t="str">
        <f t="shared" si="66"/>
        <v>T</v>
      </c>
      <c r="B2150" s="455">
        <f>VLOOKUP(LEFT($C$3:$C$2600,3),Table!$D$2:$E$88,2,FALSE)</f>
        <v>0</v>
      </c>
      <c r="C2150" s="455" t="str">
        <f t="shared" si="67"/>
        <v>T</v>
      </c>
      <c r="D2150" s="455" t="e">
        <f>VLOOKUP(G2150,Table!$G$3:$H$21,2,FALSE)</f>
        <v>#N/A</v>
      </c>
      <c r="E2150" s="452"/>
      <c r="F2150" s="452"/>
      <c r="G2150" s="452" t="s">
        <v>844</v>
      </c>
      <c r="H2150" s="452"/>
      <c r="I2150" s="453" t="s">
        <v>844</v>
      </c>
      <c r="J2150" s="453"/>
      <c r="K2150" s="461"/>
      <c r="L2150" s="461"/>
      <c r="M2150" s="461"/>
      <c r="N2150" s="461"/>
      <c r="O2150" s="461"/>
      <c r="P2150" s="461"/>
      <c r="Q2150" s="461"/>
      <c r="R2150" s="461"/>
      <c r="S2150" s="461"/>
      <c r="T2150" s="461"/>
      <c r="U2150" s="461"/>
      <c r="V2150" s="461"/>
    </row>
    <row r="2151" spans="1:22" s="455" customFormat="1" hidden="1">
      <c r="A2151" s="455" t="str">
        <f t="shared" si="66"/>
        <v>T</v>
      </c>
      <c r="B2151" s="455">
        <f>VLOOKUP(LEFT($C$3:$C$2600,3),Table!$D$2:$E$88,2,FALSE)</f>
        <v>0</v>
      </c>
      <c r="C2151" s="455" t="str">
        <f t="shared" si="67"/>
        <v>T</v>
      </c>
      <c r="D2151" s="455" t="e">
        <f>VLOOKUP(G2151,Table!$G$3:$H$21,2,FALSE)</f>
        <v>#N/A</v>
      </c>
      <c r="E2151" s="452"/>
      <c r="F2151" s="452"/>
      <c r="G2151" s="452" t="s">
        <v>844</v>
      </c>
      <c r="H2151" s="452"/>
      <c r="I2151" s="453" t="s">
        <v>844</v>
      </c>
      <c r="J2151" s="453"/>
      <c r="K2151" s="461"/>
      <c r="L2151" s="461"/>
      <c r="M2151" s="461"/>
      <c r="N2151" s="461"/>
      <c r="O2151" s="461"/>
      <c r="P2151" s="461"/>
      <c r="Q2151" s="461"/>
      <c r="R2151" s="461"/>
      <c r="S2151" s="461"/>
      <c r="T2151" s="461"/>
      <c r="U2151" s="461"/>
      <c r="V2151" s="461"/>
    </row>
    <row r="2152" spans="1:22" s="455" customFormat="1" hidden="1">
      <c r="A2152" s="455" t="str">
        <f t="shared" si="66"/>
        <v>T</v>
      </c>
      <c r="B2152" s="455">
        <f>VLOOKUP(LEFT($C$3:$C$2600,3),Table!$D$2:$E$88,2,FALSE)</f>
        <v>0</v>
      </c>
      <c r="C2152" s="455" t="str">
        <f t="shared" si="67"/>
        <v>T</v>
      </c>
      <c r="D2152" s="455" t="e">
        <f>VLOOKUP(G2152,Table!$G$3:$H$21,2,FALSE)</f>
        <v>#N/A</v>
      </c>
      <c r="E2152" s="452"/>
      <c r="F2152" s="452"/>
      <c r="G2152" s="452" t="s">
        <v>844</v>
      </c>
      <c r="H2152" s="452"/>
      <c r="I2152" s="453" t="s">
        <v>844</v>
      </c>
      <c r="J2152" s="453"/>
      <c r="K2152" s="461"/>
      <c r="L2152" s="461"/>
      <c r="M2152" s="461"/>
      <c r="N2152" s="461"/>
      <c r="O2152" s="461"/>
      <c r="P2152" s="461"/>
      <c r="Q2152" s="461"/>
      <c r="R2152" s="461"/>
      <c r="S2152" s="461"/>
      <c r="T2152" s="461"/>
      <c r="U2152" s="461"/>
      <c r="V2152" s="461"/>
    </row>
    <row r="2153" spans="1:22" s="455" customFormat="1" hidden="1">
      <c r="A2153" s="455" t="str">
        <f t="shared" si="66"/>
        <v>T</v>
      </c>
      <c r="B2153" s="455">
        <f>VLOOKUP(LEFT($C$3:$C$2600,3),Table!$D$2:$E$88,2,FALSE)</f>
        <v>0</v>
      </c>
      <c r="C2153" s="455" t="str">
        <f t="shared" si="67"/>
        <v>T</v>
      </c>
      <c r="D2153" s="455" t="e">
        <f>VLOOKUP(G2153,Table!$G$3:$H$21,2,FALSE)</f>
        <v>#N/A</v>
      </c>
      <c r="E2153" s="452"/>
      <c r="F2153" s="452"/>
      <c r="G2153" s="452" t="s">
        <v>844</v>
      </c>
      <c r="H2153" s="452"/>
      <c r="I2153" s="453" t="s">
        <v>844</v>
      </c>
      <c r="J2153" s="453"/>
      <c r="K2153" s="461"/>
      <c r="L2153" s="461"/>
      <c r="M2153" s="461"/>
      <c r="N2153" s="461"/>
      <c r="O2153" s="461"/>
      <c r="P2153" s="461"/>
      <c r="Q2153" s="461"/>
      <c r="R2153" s="461"/>
      <c r="S2153" s="461"/>
      <c r="T2153" s="461"/>
      <c r="U2153" s="461"/>
      <c r="V2153" s="461"/>
    </row>
    <row r="2154" spans="1:22" s="455" customFormat="1" hidden="1">
      <c r="A2154" s="455" t="str">
        <f t="shared" si="66"/>
        <v>T</v>
      </c>
      <c r="B2154" s="455">
        <f>VLOOKUP(LEFT($C$3:$C$2600,3),Table!$D$2:$E$88,2,FALSE)</f>
        <v>0</v>
      </c>
      <c r="C2154" s="455" t="str">
        <f t="shared" si="67"/>
        <v>T</v>
      </c>
      <c r="D2154" s="455" t="e">
        <f>VLOOKUP(G2154,Table!$G$3:$H$21,2,FALSE)</f>
        <v>#N/A</v>
      </c>
      <c r="E2154" s="452"/>
      <c r="F2154" s="452"/>
      <c r="G2154" s="452" t="s">
        <v>844</v>
      </c>
      <c r="H2154" s="452"/>
      <c r="I2154" s="453" t="s">
        <v>844</v>
      </c>
      <c r="J2154" s="453"/>
      <c r="K2154" s="461"/>
      <c r="L2154" s="461"/>
      <c r="M2154" s="461"/>
      <c r="N2154" s="461"/>
      <c r="O2154" s="461"/>
      <c r="P2154" s="461"/>
      <c r="Q2154" s="461"/>
      <c r="R2154" s="461"/>
      <c r="S2154" s="461"/>
      <c r="T2154" s="461"/>
      <c r="U2154" s="461"/>
      <c r="V2154" s="461"/>
    </row>
    <row r="2155" spans="1:22" s="455" customFormat="1" hidden="1">
      <c r="A2155" s="455" t="str">
        <f t="shared" si="66"/>
        <v>T</v>
      </c>
      <c r="B2155" s="455">
        <f>VLOOKUP(LEFT($C$3:$C$2600,3),Table!$D$2:$E$88,2,FALSE)</f>
        <v>0</v>
      </c>
      <c r="C2155" s="455" t="str">
        <f t="shared" si="67"/>
        <v>T</v>
      </c>
      <c r="D2155" s="455" t="e">
        <f>VLOOKUP(G2155,Table!$G$3:$H$21,2,FALSE)</f>
        <v>#N/A</v>
      </c>
      <c r="E2155" s="452"/>
      <c r="F2155" s="452"/>
      <c r="G2155" s="452" t="s">
        <v>844</v>
      </c>
      <c r="H2155" s="452"/>
      <c r="I2155" s="453" t="s">
        <v>844</v>
      </c>
      <c r="J2155" s="453"/>
      <c r="K2155" s="461"/>
      <c r="L2155" s="461"/>
      <c r="M2155" s="461"/>
      <c r="N2155" s="461"/>
      <c r="O2155" s="461"/>
      <c r="P2155" s="461"/>
      <c r="Q2155" s="461"/>
      <c r="R2155" s="461"/>
      <c r="S2155" s="461"/>
      <c r="T2155" s="461"/>
      <c r="U2155" s="461"/>
      <c r="V2155" s="461"/>
    </row>
    <row r="2156" spans="1:22" s="455" customFormat="1" hidden="1">
      <c r="A2156" s="455" t="str">
        <f t="shared" ref="A2156:A2165" si="68">F2156&amp;G2156</f>
        <v>T</v>
      </c>
      <c r="B2156" s="455">
        <f>VLOOKUP(LEFT($C$3:$C$2600,3),Table!$D$2:$E$88,2,FALSE)</f>
        <v>0</v>
      </c>
      <c r="C2156" s="455" t="str">
        <f t="shared" ref="C2156:C2165" si="69">IF(ISNA(D2156),G2156,D2156)</f>
        <v>T</v>
      </c>
      <c r="D2156" s="455" t="e">
        <f>VLOOKUP(G2156,Table!$G$3:$H$21,2,FALSE)</f>
        <v>#N/A</v>
      </c>
      <c r="E2156" s="452"/>
      <c r="F2156" s="452"/>
      <c r="G2156" s="452" t="s">
        <v>844</v>
      </c>
      <c r="H2156" s="452"/>
      <c r="I2156" s="453" t="s">
        <v>844</v>
      </c>
      <c r="J2156" s="453"/>
      <c r="K2156" s="461"/>
      <c r="L2156" s="461"/>
      <c r="M2156" s="461"/>
      <c r="N2156" s="461"/>
      <c r="O2156" s="461"/>
      <c r="P2156" s="461"/>
      <c r="Q2156" s="461"/>
      <c r="R2156" s="461"/>
      <c r="S2156" s="461"/>
      <c r="T2156" s="461"/>
      <c r="U2156" s="461"/>
      <c r="V2156" s="461"/>
    </row>
    <row r="2157" spans="1:22" s="455" customFormat="1" hidden="1">
      <c r="A2157" s="455" t="str">
        <f t="shared" si="68"/>
        <v>T</v>
      </c>
      <c r="B2157" s="455">
        <f>VLOOKUP(LEFT($C$3:$C$2600,3),Table!$D$2:$E$88,2,FALSE)</f>
        <v>0</v>
      </c>
      <c r="C2157" s="455" t="str">
        <f t="shared" si="69"/>
        <v>T</v>
      </c>
      <c r="D2157" s="455" t="e">
        <f>VLOOKUP(G2157,Table!$G$3:$H$21,2,FALSE)</f>
        <v>#N/A</v>
      </c>
      <c r="E2157" s="452"/>
      <c r="F2157" s="452"/>
      <c r="G2157" s="452" t="s">
        <v>844</v>
      </c>
      <c r="H2157" s="452"/>
      <c r="I2157" s="453" t="s">
        <v>844</v>
      </c>
      <c r="J2157" s="453"/>
      <c r="K2157" s="461"/>
      <c r="L2157" s="461"/>
      <c r="M2157" s="461"/>
      <c r="N2157" s="461"/>
      <c r="O2157" s="461"/>
      <c r="P2157" s="461"/>
      <c r="Q2157" s="461"/>
      <c r="R2157" s="461"/>
      <c r="S2157" s="461"/>
      <c r="T2157" s="461"/>
      <c r="U2157" s="461"/>
      <c r="V2157" s="461"/>
    </row>
    <row r="2158" spans="1:22" s="455" customFormat="1" hidden="1">
      <c r="A2158" s="455" t="str">
        <f t="shared" si="68"/>
        <v>T</v>
      </c>
      <c r="B2158" s="455">
        <f>VLOOKUP(LEFT($C$3:$C$2600,3),Table!$D$2:$E$88,2,FALSE)</f>
        <v>0</v>
      </c>
      <c r="C2158" s="455" t="str">
        <f t="shared" si="69"/>
        <v>T</v>
      </c>
      <c r="D2158" s="455" t="e">
        <f>VLOOKUP(G2158,Table!$G$3:$H$21,2,FALSE)</f>
        <v>#N/A</v>
      </c>
      <c r="E2158" s="452"/>
      <c r="F2158" s="452"/>
      <c r="G2158" s="452" t="s">
        <v>844</v>
      </c>
      <c r="H2158" s="452"/>
      <c r="I2158" s="453" t="s">
        <v>844</v>
      </c>
      <c r="J2158" s="453"/>
      <c r="K2158" s="461"/>
      <c r="L2158" s="461"/>
      <c r="M2158" s="461"/>
      <c r="N2158" s="461"/>
      <c r="O2158" s="461"/>
      <c r="P2158" s="461"/>
      <c r="Q2158" s="461"/>
      <c r="R2158" s="461"/>
      <c r="S2158" s="461"/>
      <c r="T2158" s="461"/>
      <c r="U2158" s="461"/>
      <c r="V2158" s="461"/>
    </row>
    <row r="2159" spans="1:22" s="455" customFormat="1" hidden="1">
      <c r="A2159" s="455" t="str">
        <f t="shared" si="68"/>
        <v>T</v>
      </c>
      <c r="B2159" s="455">
        <f>VLOOKUP(LEFT($C$3:$C$2600,3),Table!$D$2:$E$88,2,FALSE)</f>
        <v>0</v>
      </c>
      <c r="C2159" s="455" t="str">
        <f t="shared" si="69"/>
        <v>T</v>
      </c>
      <c r="D2159" s="455" t="e">
        <f>VLOOKUP(G2159,Table!$G$3:$H$21,2,FALSE)</f>
        <v>#N/A</v>
      </c>
      <c r="E2159" s="452"/>
      <c r="F2159" s="452"/>
      <c r="G2159" s="452" t="s">
        <v>844</v>
      </c>
      <c r="H2159" s="452"/>
      <c r="I2159" s="453" t="s">
        <v>844</v>
      </c>
      <c r="J2159" s="453"/>
      <c r="K2159" s="461"/>
      <c r="L2159" s="461"/>
      <c r="M2159" s="461"/>
      <c r="N2159" s="461"/>
      <c r="O2159" s="461"/>
      <c r="P2159" s="461"/>
      <c r="Q2159" s="461"/>
      <c r="R2159" s="461"/>
      <c r="S2159" s="461"/>
      <c r="T2159" s="461"/>
      <c r="U2159" s="461"/>
      <c r="V2159" s="461"/>
    </row>
    <row r="2160" spans="1:22" s="455" customFormat="1" hidden="1">
      <c r="A2160" s="455" t="str">
        <f t="shared" si="68"/>
        <v>T</v>
      </c>
      <c r="B2160" s="455">
        <f>VLOOKUP(LEFT($C$3:$C$2600,3),Table!$D$2:$E$88,2,FALSE)</f>
        <v>0</v>
      </c>
      <c r="C2160" s="455" t="str">
        <f t="shared" si="69"/>
        <v>T</v>
      </c>
      <c r="D2160" s="455" t="e">
        <f>VLOOKUP(G2160,Table!$G$3:$H$21,2,FALSE)</f>
        <v>#N/A</v>
      </c>
      <c r="E2160" s="452"/>
      <c r="F2160" s="452"/>
      <c r="G2160" s="452" t="s">
        <v>844</v>
      </c>
      <c r="H2160" s="452"/>
      <c r="I2160" s="453" t="s">
        <v>844</v>
      </c>
      <c r="J2160" s="453"/>
      <c r="K2160" s="461"/>
      <c r="L2160" s="461"/>
      <c r="M2160" s="461"/>
      <c r="N2160" s="461"/>
      <c r="O2160" s="461"/>
      <c r="P2160" s="461"/>
      <c r="Q2160" s="461"/>
      <c r="R2160" s="461"/>
      <c r="S2160" s="461"/>
      <c r="T2160" s="461"/>
      <c r="U2160" s="461"/>
      <c r="V2160" s="461"/>
    </row>
    <row r="2161" spans="1:22" s="455" customFormat="1" hidden="1">
      <c r="A2161" s="455" t="str">
        <f t="shared" si="68"/>
        <v>T</v>
      </c>
      <c r="B2161" s="455">
        <f>VLOOKUP(LEFT($C$3:$C$2600,3),Table!$D$2:$E$88,2,FALSE)</f>
        <v>0</v>
      </c>
      <c r="C2161" s="455" t="str">
        <f t="shared" si="69"/>
        <v>T</v>
      </c>
      <c r="D2161" s="455" t="e">
        <f>VLOOKUP(G2161,Table!$G$3:$H$21,2,FALSE)</f>
        <v>#N/A</v>
      </c>
      <c r="E2161" s="452"/>
      <c r="F2161" s="452"/>
      <c r="G2161" s="452" t="s">
        <v>844</v>
      </c>
      <c r="H2161" s="452"/>
      <c r="I2161" s="453" t="s">
        <v>844</v>
      </c>
      <c r="J2161" s="453"/>
      <c r="K2161" s="461"/>
      <c r="L2161" s="461"/>
      <c r="M2161" s="461"/>
      <c r="N2161" s="461"/>
      <c r="O2161" s="461"/>
      <c r="P2161" s="461"/>
      <c r="Q2161" s="461"/>
      <c r="R2161" s="461"/>
      <c r="S2161" s="461"/>
      <c r="T2161" s="461"/>
      <c r="U2161" s="461"/>
      <c r="V2161" s="461"/>
    </row>
    <row r="2162" spans="1:22" s="455" customFormat="1" hidden="1">
      <c r="A2162" s="455" t="str">
        <f t="shared" si="68"/>
        <v>T</v>
      </c>
      <c r="B2162" s="455">
        <f>VLOOKUP(LEFT($C$3:$C$2600,3),Table!$D$2:$E$88,2,FALSE)</f>
        <v>0</v>
      </c>
      <c r="C2162" s="455" t="str">
        <f t="shared" si="69"/>
        <v>T</v>
      </c>
      <c r="D2162" s="455" t="e">
        <f>VLOOKUP(G2162,Table!$G$3:$H$21,2,FALSE)</f>
        <v>#N/A</v>
      </c>
      <c r="E2162" s="452"/>
      <c r="F2162" s="452"/>
      <c r="G2162" s="452" t="s">
        <v>844</v>
      </c>
      <c r="H2162" s="452"/>
      <c r="I2162" s="453" t="s">
        <v>844</v>
      </c>
      <c r="J2162" s="453"/>
      <c r="K2162" s="461"/>
      <c r="L2162" s="461"/>
      <c r="M2162" s="461"/>
      <c r="N2162" s="461"/>
      <c r="O2162" s="461"/>
      <c r="P2162" s="461"/>
      <c r="Q2162" s="461"/>
      <c r="R2162" s="461"/>
      <c r="S2162" s="461"/>
      <c r="T2162" s="461"/>
      <c r="U2162" s="461"/>
      <c r="V2162" s="461"/>
    </row>
    <row r="2163" spans="1:22" s="455" customFormat="1" hidden="1">
      <c r="A2163" s="455" t="str">
        <f t="shared" si="68"/>
        <v>T</v>
      </c>
      <c r="B2163" s="455">
        <f>VLOOKUP(LEFT($C$3:$C$2600,3),Table!$D$2:$E$88,2,FALSE)</f>
        <v>0</v>
      </c>
      <c r="C2163" s="455" t="str">
        <f t="shared" si="69"/>
        <v>T</v>
      </c>
      <c r="D2163" s="455" t="e">
        <f>VLOOKUP(G2163,Table!$G$3:$H$21,2,FALSE)</f>
        <v>#N/A</v>
      </c>
      <c r="E2163" s="452"/>
      <c r="F2163" s="452"/>
      <c r="G2163" s="452" t="s">
        <v>844</v>
      </c>
      <c r="H2163" s="452"/>
      <c r="I2163" s="453" t="s">
        <v>844</v>
      </c>
      <c r="J2163" s="453"/>
      <c r="K2163" s="461"/>
      <c r="L2163" s="461"/>
      <c r="M2163" s="461"/>
      <c r="N2163" s="461"/>
      <c r="O2163" s="461"/>
      <c r="P2163" s="461"/>
      <c r="Q2163" s="461"/>
      <c r="R2163" s="461"/>
      <c r="S2163" s="461"/>
      <c r="T2163" s="461"/>
      <c r="U2163" s="461"/>
      <c r="V2163" s="461"/>
    </row>
    <row r="2164" spans="1:22" s="455" customFormat="1" hidden="1">
      <c r="A2164" s="455" t="str">
        <f t="shared" si="68"/>
        <v>T</v>
      </c>
      <c r="B2164" s="455">
        <f>VLOOKUP(LEFT($C$3:$C$2600,3),Table!$D$2:$E$88,2,FALSE)</f>
        <v>0</v>
      </c>
      <c r="C2164" s="455" t="str">
        <f t="shared" si="69"/>
        <v>T</v>
      </c>
      <c r="D2164" s="455" t="e">
        <f>VLOOKUP(G2164,Table!$G$3:$H$21,2,FALSE)</f>
        <v>#N/A</v>
      </c>
      <c r="E2164" s="452"/>
      <c r="F2164" s="452"/>
      <c r="G2164" s="452" t="s">
        <v>844</v>
      </c>
      <c r="H2164" s="452"/>
      <c r="I2164" s="453" t="s">
        <v>844</v>
      </c>
      <c r="J2164" s="453"/>
      <c r="K2164" s="461"/>
      <c r="L2164" s="461"/>
      <c r="M2164" s="461"/>
      <c r="N2164" s="461"/>
      <c r="O2164" s="461"/>
      <c r="P2164" s="461"/>
      <c r="Q2164" s="461"/>
      <c r="R2164" s="461"/>
      <c r="S2164" s="461"/>
      <c r="T2164" s="461"/>
      <c r="U2164" s="461"/>
      <c r="V2164" s="461"/>
    </row>
    <row r="2165" spans="1:22" s="455" customFormat="1" hidden="1">
      <c r="A2165" s="455" t="str">
        <f t="shared" si="68"/>
        <v>T</v>
      </c>
      <c r="B2165" s="455">
        <f>VLOOKUP(LEFT($C$3:$C$2600,3),Table!$D$2:$E$88,2,FALSE)</f>
        <v>0</v>
      </c>
      <c r="C2165" s="455" t="str">
        <f t="shared" si="69"/>
        <v>T</v>
      </c>
      <c r="D2165" s="455" t="e">
        <f>VLOOKUP(G2165,Table!$G$3:$H$21,2,FALSE)</f>
        <v>#N/A</v>
      </c>
      <c r="E2165" s="452"/>
      <c r="F2165" s="452"/>
      <c r="G2165" s="452" t="s">
        <v>844</v>
      </c>
      <c r="H2165" s="452"/>
      <c r="I2165" s="453" t="s">
        <v>844</v>
      </c>
      <c r="J2165" s="453"/>
      <c r="K2165" s="461"/>
      <c r="L2165" s="461"/>
      <c r="M2165" s="461"/>
      <c r="N2165" s="461"/>
      <c r="O2165" s="461"/>
      <c r="P2165" s="461"/>
      <c r="Q2165" s="461"/>
      <c r="R2165" s="461"/>
      <c r="S2165" s="461"/>
      <c r="T2165" s="461"/>
      <c r="U2165" s="461"/>
      <c r="V2165" s="461"/>
    </row>
    <row r="2166" spans="1:22" s="455" customFormat="1" hidden="1">
      <c r="E2166" s="452"/>
      <c r="F2166" s="452"/>
      <c r="G2166" s="452" t="s">
        <v>844</v>
      </c>
      <c r="H2166" s="452"/>
      <c r="I2166" s="453" t="s">
        <v>844</v>
      </c>
      <c r="J2166" s="453"/>
      <c r="K2166" s="461"/>
      <c r="L2166" s="461"/>
      <c r="M2166" s="461"/>
      <c r="N2166" s="461"/>
      <c r="O2166" s="461"/>
      <c r="P2166" s="461"/>
      <c r="Q2166" s="461"/>
      <c r="R2166" s="461"/>
      <c r="S2166" s="461"/>
      <c r="T2166" s="461"/>
      <c r="U2166" s="461"/>
      <c r="V2166" s="461"/>
    </row>
    <row r="2167" spans="1:22" s="455" customFormat="1" hidden="1">
      <c r="E2167" s="452"/>
      <c r="F2167" s="452"/>
      <c r="G2167" s="452" t="s">
        <v>844</v>
      </c>
      <c r="H2167" s="452"/>
      <c r="I2167" s="453" t="s">
        <v>844</v>
      </c>
      <c r="J2167" s="453"/>
      <c r="K2167" s="461"/>
      <c r="L2167" s="461"/>
      <c r="M2167" s="461"/>
      <c r="N2167" s="461"/>
      <c r="O2167" s="461"/>
      <c r="P2167" s="461"/>
      <c r="Q2167" s="461"/>
      <c r="R2167" s="461"/>
      <c r="S2167" s="461"/>
      <c r="T2167" s="461"/>
      <c r="U2167" s="461"/>
      <c r="V2167" s="461"/>
    </row>
    <row r="2168" spans="1:22" s="455" customFormat="1" hidden="1">
      <c r="E2168" s="452"/>
      <c r="F2168" s="452"/>
      <c r="G2168" s="452" t="s">
        <v>844</v>
      </c>
      <c r="H2168" s="452"/>
      <c r="I2168" s="453" t="s">
        <v>844</v>
      </c>
      <c r="J2168" s="453"/>
      <c r="K2168" s="461"/>
      <c r="L2168" s="461"/>
      <c r="M2168" s="461"/>
      <c r="N2168" s="461"/>
      <c r="O2168" s="461"/>
      <c r="P2168" s="461"/>
      <c r="Q2168" s="461"/>
      <c r="R2168" s="461"/>
      <c r="S2168" s="461"/>
      <c r="T2168" s="461"/>
      <c r="U2168" s="461"/>
      <c r="V2168" s="461"/>
    </row>
    <row r="2169" spans="1:22" s="455" customFormat="1" hidden="1">
      <c r="E2169" s="452"/>
      <c r="F2169" s="452"/>
      <c r="G2169" s="452" t="s">
        <v>844</v>
      </c>
      <c r="H2169" s="452"/>
      <c r="I2169" s="453" t="s">
        <v>844</v>
      </c>
      <c r="J2169" s="453"/>
      <c r="K2169" s="461"/>
      <c r="L2169" s="461"/>
      <c r="M2169" s="461"/>
      <c r="N2169" s="461"/>
      <c r="O2169" s="461"/>
      <c r="P2169" s="461"/>
      <c r="Q2169" s="461"/>
      <c r="R2169" s="461"/>
      <c r="S2169" s="461"/>
      <c r="T2169" s="461"/>
      <c r="U2169" s="461"/>
      <c r="V2169" s="461"/>
    </row>
    <row r="2170" spans="1:22" s="455" customFormat="1" hidden="1">
      <c r="E2170" s="452"/>
      <c r="F2170" s="452"/>
      <c r="G2170" s="452" t="s">
        <v>844</v>
      </c>
      <c r="H2170" s="452"/>
      <c r="I2170" s="453" t="s">
        <v>844</v>
      </c>
      <c r="J2170" s="453"/>
      <c r="K2170" s="461"/>
      <c r="L2170" s="461"/>
      <c r="M2170" s="461"/>
      <c r="N2170" s="461"/>
      <c r="O2170" s="461"/>
      <c r="P2170" s="461"/>
      <c r="Q2170" s="461"/>
      <c r="R2170" s="461"/>
      <c r="S2170" s="461"/>
      <c r="T2170" s="461"/>
      <c r="U2170" s="461"/>
      <c r="V2170" s="461"/>
    </row>
    <row r="2171" spans="1:22" s="455" customFormat="1" hidden="1">
      <c r="E2171" s="452"/>
      <c r="F2171" s="452"/>
      <c r="G2171" s="452" t="s">
        <v>844</v>
      </c>
      <c r="H2171" s="452"/>
      <c r="I2171" s="453" t="s">
        <v>844</v>
      </c>
      <c r="J2171" s="453"/>
      <c r="K2171" s="461"/>
      <c r="L2171" s="461"/>
      <c r="M2171" s="461"/>
      <c r="N2171" s="461"/>
      <c r="O2171" s="461"/>
      <c r="P2171" s="461"/>
      <c r="Q2171" s="461"/>
      <c r="R2171" s="461"/>
      <c r="S2171" s="461"/>
      <c r="T2171" s="461"/>
      <c r="U2171" s="461"/>
      <c r="V2171" s="461"/>
    </row>
    <row r="2172" spans="1:22" s="455" customFormat="1" hidden="1">
      <c r="E2172" s="452"/>
      <c r="F2172" s="452"/>
      <c r="G2172" s="452" t="s">
        <v>844</v>
      </c>
      <c r="H2172" s="452"/>
      <c r="I2172" s="453" t="s">
        <v>844</v>
      </c>
      <c r="J2172" s="453"/>
      <c r="K2172" s="461"/>
      <c r="L2172" s="461"/>
      <c r="M2172" s="461"/>
      <c r="N2172" s="461"/>
      <c r="O2172" s="461"/>
      <c r="P2172" s="461"/>
      <c r="Q2172" s="461"/>
      <c r="R2172" s="461"/>
      <c r="S2172" s="461"/>
      <c r="T2172" s="461"/>
      <c r="U2172" s="461"/>
      <c r="V2172" s="461"/>
    </row>
    <row r="2173" spans="1:22" s="455" customFormat="1" hidden="1">
      <c r="E2173" s="452"/>
      <c r="F2173" s="452"/>
      <c r="G2173" s="452" t="s">
        <v>844</v>
      </c>
      <c r="H2173" s="452"/>
      <c r="I2173" s="453" t="s">
        <v>844</v>
      </c>
      <c r="J2173" s="453"/>
      <c r="K2173" s="461"/>
      <c r="L2173" s="461"/>
      <c r="M2173" s="461"/>
      <c r="N2173" s="461"/>
      <c r="O2173" s="461"/>
      <c r="P2173" s="461"/>
      <c r="Q2173" s="461"/>
      <c r="R2173" s="461"/>
      <c r="S2173" s="461"/>
      <c r="T2173" s="461"/>
      <c r="U2173" s="461"/>
      <c r="V2173" s="461"/>
    </row>
    <row r="2174" spans="1:22" s="455" customFormat="1" hidden="1">
      <c r="E2174" s="452"/>
      <c r="F2174" s="452"/>
      <c r="G2174" s="452" t="s">
        <v>844</v>
      </c>
      <c r="H2174" s="452"/>
      <c r="I2174" s="453" t="s">
        <v>844</v>
      </c>
      <c r="J2174" s="453"/>
      <c r="K2174" s="461"/>
      <c r="L2174" s="461"/>
      <c r="M2174" s="461"/>
      <c r="N2174" s="461"/>
      <c r="O2174" s="461"/>
      <c r="P2174" s="461"/>
      <c r="Q2174" s="461"/>
      <c r="R2174" s="461"/>
      <c r="S2174" s="461"/>
      <c r="T2174" s="461"/>
      <c r="U2174" s="461"/>
      <c r="V2174" s="461"/>
    </row>
    <row r="2175" spans="1:22" s="455" customFormat="1" hidden="1">
      <c r="E2175" s="452"/>
      <c r="F2175" s="452"/>
      <c r="G2175" s="452" t="s">
        <v>844</v>
      </c>
      <c r="H2175" s="452"/>
      <c r="I2175" s="453" t="s">
        <v>844</v>
      </c>
      <c r="J2175" s="453"/>
      <c r="K2175" s="461"/>
      <c r="L2175" s="461"/>
      <c r="M2175" s="461"/>
      <c r="N2175" s="461"/>
      <c r="O2175" s="461"/>
      <c r="P2175" s="461"/>
      <c r="Q2175" s="461"/>
      <c r="R2175" s="461"/>
      <c r="S2175" s="461"/>
      <c r="T2175" s="461"/>
      <c r="U2175" s="461"/>
      <c r="V2175" s="461"/>
    </row>
    <row r="2176" spans="1:22" s="455" customFormat="1" hidden="1">
      <c r="E2176" s="452"/>
      <c r="F2176" s="452"/>
      <c r="G2176" s="452" t="s">
        <v>844</v>
      </c>
      <c r="H2176" s="452"/>
      <c r="I2176" s="453" t="s">
        <v>844</v>
      </c>
      <c r="J2176" s="453"/>
      <c r="K2176" s="461"/>
      <c r="L2176" s="461"/>
      <c r="M2176" s="461"/>
      <c r="N2176" s="461"/>
      <c r="O2176" s="461"/>
      <c r="P2176" s="461"/>
      <c r="Q2176" s="461"/>
      <c r="R2176" s="461"/>
      <c r="S2176" s="461"/>
      <c r="T2176" s="461"/>
      <c r="U2176" s="461"/>
      <c r="V2176" s="461"/>
    </row>
    <row r="2177" spans="5:22" s="455" customFormat="1" hidden="1">
      <c r="E2177" s="452"/>
      <c r="F2177" s="452"/>
      <c r="G2177" s="452" t="s">
        <v>844</v>
      </c>
      <c r="H2177" s="452"/>
      <c r="I2177" s="453" t="s">
        <v>844</v>
      </c>
      <c r="J2177" s="453"/>
      <c r="K2177" s="461"/>
      <c r="L2177" s="461"/>
      <c r="M2177" s="461"/>
      <c r="N2177" s="461"/>
      <c r="O2177" s="461"/>
      <c r="P2177" s="461"/>
      <c r="Q2177" s="461"/>
      <c r="R2177" s="461"/>
      <c r="S2177" s="461"/>
      <c r="T2177" s="461"/>
      <c r="U2177" s="461"/>
      <c r="V2177" s="461"/>
    </row>
    <row r="2178" spans="5:22" s="455" customFormat="1" hidden="1">
      <c r="E2178" s="452"/>
      <c r="F2178" s="452"/>
      <c r="G2178" s="452" t="s">
        <v>844</v>
      </c>
      <c r="H2178" s="452"/>
      <c r="I2178" s="453" t="s">
        <v>844</v>
      </c>
      <c r="J2178" s="453"/>
      <c r="K2178" s="461"/>
      <c r="L2178" s="461"/>
      <c r="M2178" s="461"/>
      <c r="N2178" s="461"/>
      <c r="O2178" s="461"/>
      <c r="P2178" s="461"/>
      <c r="Q2178" s="461"/>
      <c r="R2178" s="461"/>
      <c r="S2178" s="461"/>
      <c r="T2178" s="461"/>
      <c r="U2178" s="461"/>
      <c r="V2178" s="461"/>
    </row>
    <row r="2179" spans="5:22" s="455" customFormat="1" hidden="1">
      <c r="E2179" s="452"/>
      <c r="F2179" s="452"/>
      <c r="G2179" s="452" t="s">
        <v>844</v>
      </c>
      <c r="H2179" s="452"/>
      <c r="I2179" s="453" t="s">
        <v>844</v>
      </c>
      <c r="J2179" s="453"/>
      <c r="K2179" s="461"/>
      <c r="L2179" s="461"/>
      <c r="M2179" s="461"/>
      <c r="N2179" s="461"/>
      <c r="O2179" s="461"/>
      <c r="P2179" s="461"/>
      <c r="Q2179" s="461"/>
      <c r="R2179" s="461"/>
      <c r="S2179" s="461"/>
      <c r="T2179" s="461"/>
      <c r="U2179" s="461"/>
      <c r="V2179" s="461"/>
    </row>
    <row r="2180" spans="5:22" s="455" customFormat="1" hidden="1">
      <c r="E2180" s="452"/>
      <c r="F2180" s="452"/>
      <c r="G2180" s="452" t="s">
        <v>844</v>
      </c>
      <c r="H2180" s="452"/>
      <c r="I2180" s="453" t="s">
        <v>844</v>
      </c>
      <c r="J2180" s="453"/>
      <c r="K2180" s="461"/>
      <c r="L2180" s="461"/>
      <c r="M2180" s="461"/>
      <c r="N2180" s="461"/>
      <c r="O2180" s="461"/>
      <c r="P2180" s="461"/>
      <c r="Q2180" s="461"/>
      <c r="R2180" s="461"/>
      <c r="S2180" s="461"/>
      <c r="T2180" s="461"/>
      <c r="U2180" s="461"/>
      <c r="V2180" s="461"/>
    </row>
    <row r="2181" spans="5:22" s="455" customFormat="1" hidden="1">
      <c r="E2181" s="452"/>
      <c r="F2181" s="452"/>
      <c r="G2181" s="452" t="s">
        <v>844</v>
      </c>
      <c r="H2181" s="452"/>
      <c r="I2181" s="453" t="s">
        <v>844</v>
      </c>
      <c r="J2181" s="453"/>
      <c r="K2181" s="461"/>
      <c r="L2181" s="461"/>
      <c r="M2181" s="461"/>
      <c r="N2181" s="461"/>
      <c r="O2181" s="461"/>
      <c r="P2181" s="461"/>
      <c r="Q2181" s="461"/>
      <c r="R2181" s="461"/>
      <c r="S2181" s="461"/>
      <c r="T2181" s="461"/>
      <c r="U2181" s="461"/>
      <c r="V2181" s="461"/>
    </row>
    <row r="2182" spans="5:22" s="455" customFormat="1" hidden="1">
      <c r="E2182" s="452"/>
      <c r="F2182" s="452"/>
      <c r="G2182" s="452" t="s">
        <v>844</v>
      </c>
      <c r="H2182" s="452"/>
      <c r="I2182" s="453" t="s">
        <v>844</v>
      </c>
      <c r="J2182" s="453"/>
      <c r="K2182" s="461"/>
      <c r="L2182" s="461"/>
      <c r="M2182" s="461"/>
      <c r="N2182" s="461"/>
      <c r="O2182" s="461"/>
      <c r="P2182" s="461"/>
      <c r="Q2182" s="461"/>
      <c r="R2182" s="461"/>
      <c r="S2182" s="461"/>
      <c r="T2182" s="461"/>
      <c r="U2182" s="461"/>
      <c r="V2182" s="461"/>
    </row>
    <row r="2183" spans="5:22" s="455" customFormat="1" hidden="1">
      <c r="E2183" s="452"/>
      <c r="F2183" s="452"/>
      <c r="G2183" s="452" t="s">
        <v>844</v>
      </c>
      <c r="H2183" s="452"/>
      <c r="I2183" s="453" t="s">
        <v>844</v>
      </c>
      <c r="J2183" s="453"/>
      <c r="K2183" s="461"/>
      <c r="L2183" s="461"/>
      <c r="M2183" s="461"/>
      <c r="N2183" s="461"/>
      <c r="O2183" s="461"/>
      <c r="P2183" s="461"/>
      <c r="Q2183" s="461"/>
      <c r="R2183" s="461"/>
      <c r="S2183" s="461"/>
      <c r="T2183" s="461"/>
      <c r="U2183" s="461"/>
      <c r="V2183" s="461"/>
    </row>
    <row r="2184" spans="5:22" s="455" customFormat="1" hidden="1">
      <c r="E2184" s="452"/>
      <c r="F2184" s="452"/>
      <c r="G2184" s="452" t="s">
        <v>844</v>
      </c>
      <c r="H2184" s="452"/>
      <c r="I2184" s="453" t="s">
        <v>844</v>
      </c>
      <c r="J2184" s="453"/>
      <c r="K2184" s="461"/>
      <c r="L2184" s="461"/>
      <c r="M2184" s="461"/>
      <c r="N2184" s="461"/>
      <c r="O2184" s="461"/>
      <c r="P2184" s="461"/>
      <c r="Q2184" s="461"/>
      <c r="R2184" s="461"/>
      <c r="S2184" s="461"/>
      <c r="T2184" s="461"/>
      <c r="U2184" s="461"/>
      <c r="V2184" s="461"/>
    </row>
    <row r="2185" spans="5:22" s="455" customFormat="1" hidden="1">
      <c r="E2185" s="452"/>
      <c r="F2185" s="452"/>
      <c r="G2185" s="452" t="s">
        <v>844</v>
      </c>
      <c r="H2185" s="452"/>
      <c r="I2185" s="453" t="s">
        <v>844</v>
      </c>
      <c r="J2185" s="453"/>
      <c r="K2185" s="461"/>
      <c r="L2185" s="461"/>
      <c r="M2185" s="461"/>
      <c r="N2185" s="461"/>
      <c r="O2185" s="461"/>
      <c r="P2185" s="461"/>
      <c r="Q2185" s="461"/>
      <c r="R2185" s="461"/>
      <c r="S2185" s="461"/>
      <c r="T2185" s="461"/>
      <c r="U2185" s="461"/>
      <c r="V2185" s="461"/>
    </row>
    <row r="2186" spans="5:22" s="455" customFormat="1" hidden="1">
      <c r="E2186" s="452"/>
      <c r="F2186" s="452"/>
      <c r="G2186" s="452" t="s">
        <v>844</v>
      </c>
      <c r="H2186" s="452"/>
      <c r="I2186" s="453" t="s">
        <v>844</v>
      </c>
      <c r="J2186" s="453"/>
      <c r="K2186" s="461"/>
      <c r="L2186" s="461"/>
      <c r="M2186" s="461"/>
      <c r="N2186" s="461"/>
      <c r="O2186" s="461"/>
      <c r="P2186" s="461"/>
      <c r="Q2186" s="461"/>
      <c r="R2186" s="461"/>
      <c r="S2186" s="461"/>
      <c r="T2186" s="461"/>
      <c r="U2186" s="461"/>
      <c r="V2186" s="461"/>
    </row>
    <row r="2187" spans="5:22" s="455" customFormat="1" hidden="1">
      <c r="E2187" s="452"/>
      <c r="F2187" s="452"/>
      <c r="G2187" s="452" t="s">
        <v>844</v>
      </c>
      <c r="H2187" s="452"/>
      <c r="I2187" s="453" t="s">
        <v>844</v>
      </c>
      <c r="J2187" s="453"/>
      <c r="K2187" s="461"/>
      <c r="L2187" s="461"/>
      <c r="M2187" s="461"/>
      <c r="N2187" s="461"/>
      <c r="O2187" s="461"/>
      <c r="P2187" s="461"/>
      <c r="Q2187" s="461"/>
      <c r="R2187" s="461"/>
      <c r="S2187" s="461"/>
      <c r="T2187" s="461"/>
      <c r="U2187" s="461"/>
      <c r="V2187" s="461"/>
    </row>
    <row r="2188" spans="5:22" s="455" customFormat="1" hidden="1">
      <c r="E2188" s="452"/>
      <c r="F2188" s="452"/>
      <c r="G2188" s="452" t="s">
        <v>844</v>
      </c>
      <c r="H2188" s="452"/>
      <c r="I2188" s="453" t="s">
        <v>844</v>
      </c>
      <c r="J2188" s="453"/>
      <c r="K2188" s="461"/>
      <c r="L2188" s="461"/>
      <c r="M2188" s="461"/>
      <c r="N2188" s="461"/>
      <c r="O2188" s="461"/>
      <c r="P2188" s="461"/>
      <c r="Q2188" s="461"/>
      <c r="R2188" s="461"/>
      <c r="S2188" s="461"/>
      <c r="T2188" s="461"/>
      <c r="U2188" s="461"/>
      <c r="V2188" s="461"/>
    </row>
    <row r="2189" spans="5:22" s="455" customFormat="1" hidden="1">
      <c r="E2189" s="452"/>
      <c r="F2189" s="452"/>
      <c r="G2189" s="452" t="s">
        <v>844</v>
      </c>
      <c r="H2189" s="452"/>
      <c r="I2189" s="453" t="s">
        <v>844</v>
      </c>
      <c r="J2189" s="453"/>
      <c r="K2189" s="461"/>
      <c r="L2189" s="461"/>
      <c r="M2189" s="461"/>
      <c r="N2189" s="461"/>
      <c r="O2189" s="461"/>
      <c r="P2189" s="461"/>
      <c r="Q2189" s="461"/>
      <c r="R2189" s="461"/>
      <c r="S2189" s="461"/>
      <c r="T2189" s="461"/>
      <c r="U2189" s="461"/>
      <c r="V2189" s="461"/>
    </row>
    <row r="2190" spans="5:22" s="455" customFormat="1" hidden="1">
      <c r="E2190" s="452"/>
      <c r="F2190" s="452"/>
      <c r="G2190" s="452" t="s">
        <v>844</v>
      </c>
      <c r="H2190" s="452"/>
      <c r="I2190" s="453" t="s">
        <v>844</v>
      </c>
      <c r="J2190" s="453"/>
      <c r="K2190" s="461"/>
      <c r="L2190" s="461"/>
      <c r="M2190" s="461"/>
      <c r="N2190" s="461"/>
      <c r="O2190" s="461"/>
      <c r="P2190" s="461"/>
      <c r="Q2190" s="461"/>
      <c r="R2190" s="461"/>
      <c r="S2190" s="461"/>
      <c r="T2190" s="461"/>
      <c r="U2190" s="461"/>
      <c r="V2190" s="461"/>
    </row>
    <row r="2191" spans="5:22" s="455" customFormat="1" hidden="1">
      <c r="E2191" s="452"/>
      <c r="F2191" s="452"/>
      <c r="G2191" s="452" t="s">
        <v>844</v>
      </c>
      <c r="H2191" s="452"/>
      <c r="I2191" s="453" t="s">
        <v>844</v>
      </c>
      <c r="J2191" s="453"/>
      <c r="K2191" s="461"/>
      <c r="L2191" s="461"/>
      <c r="M2191" s="461"/>
      <c r="N2191" s="461"/>
      <c r="O2191" s="461"/>
      <c r="P2191" s="461"/>
      <c r="Q2191" s="461"/>
      <c r="R2191" s="461"/>
      <c r="S2191" s="461"/>
      <c r="T2191" s="461"/>
      <c r="U2191" s="461"/>
      <c r="V2191" s="461"/>
    </row>
    <row r="2192" spans="5:22" s="455" customFormat="1" hidden="1">
      <c r="E2192" s="452"/>
      <c r="F2192" s="452"/>
      <c r="G2192" s="452" t="s">
        <v>844</v>
      </c>
      <c r="H2192" s="452"/>
      <c r="I2192" s="453" t="s">
        <v>844</v>
      </c>
      <c r="J2192" s="453"/>
      <c r="K2192" s="461"/>
      <c r="L2192" s="461"/>
      <c r="M2192" s="461"/>
      <c r="N2192" s="461"/>
      <c r="O2192" s="461"/>
      <c r="P2192" s="461"/>
      <c r="Q2192" s="461"/>
      <c r="R2192" s="461"/>
      <c r="S2192" s="461"/>
      <c r="T2192" s="461"/>
      <c r="U2192" s="461"/>
      <c r="V2192" s="461"/>
    </row>
    <row r="2193" spans="5:22" s="455" customFormat="1" hidden="1">
      <c r="E2193" s="452"/>
      <c r="F2193" s="452"/>
      <c r="G2193" s="452" t="s">
        <v>844</v>
      </c>
      <c r="H2193" s="452"/>
      <c r="I2193" s="453" t="s">
        <v>844</v>
      </c>
      <c r="J2193" s="453"/>
      <c r="K2193" s="461"/>
      <c r="L2193" s="461"/>
      <c r="M2193" s="461"/>
      <c r="N2193" s="461"/>
      <c r="O2193" s="461"/>
      <c r="P2193" s="461"/>
      <c r="Q2193" s="461"/>
      <c r="R2193" s="461"/>
      <c r="S2193" s="461"/>
      <c r="T2193" s="461"/>
      <c r="U2193" s="461"/>
      <c r="V2193" s="461"/>
    </row>
    <row r="2194" spans="5:22" s="455" customFormat="1" hidden="1">
      <c r="E2194" s="452"/>
      <c r="F2194" s="452"/>
      <c r="G2194" s="452" t="s">
        <v>844</v>
      </c>
      <c r="H2194" s="452"/>
      <c r="I2194" s="453" t="s">
        <v>844</v>
      </c>
      <c r="J2194" s="453"/>
      <c r="K2194" s="461"/>
      <c r="L2194" s="461"/>
      <c r="M2194" s="461"/>
      <c r="N2194" s="461"/>
      <c r="O2194" s="461"/>
      <c r="P2194" s="461"/>
      <c r="Q2194" s="461"/>
      <c r="R2194" s="461"/>
      <c r="S2194" s="461"/>
      <c r="T2194" s="461"/>
      <c r="U2194" s="461"/>
      <c r="V2194" s="461"/>
    </row>
    <row r="2195" spans="5:22" s="455" customFormat="1" hidden="1">
      <c r="E2195" s="452"/>
      <c r="F2195" s="452"/>
      <c r="G2195" s="452" t="s">
        <v>844</v>
      </c>
      <c r="H2195" s="452"/>
      <c r="I2195" s="453" t="s">
        <v>844</v>
      </c>
      <c r="J2195" s="453"/>
      <c r="K2195" s="461"/>
      <c r="L2195" s="461"/>
      <c r="M2195" s="461"/>
      <c r="N2195" s="461"/>
      <c r="O2195" s="461"/>
      <c r="P2195" s="461"/>
      <c r="Q2195" s="461"/>
      <c r="R2195" s="461"/>
      <c r="S2195" s="461"/>
      <c r="T2195" s="461"/>
      <c r="U2195" s="461"/>
      <c r="V2195" s="461"/>
    </row>
    <row r="2196" spans="5:22" s="455" customFormat="1" hidden="1">
      <c r="E2196" s="452"/>
      <c r="F2196" s="452"/>
      <c r="G2196" s="452" t="s">
        <v>844</v>
      </c>
      <c r="H2196" s="452"/>
      <c r="I2196" s="453" t="s">
        <v>844</v>
      </c>
      <c r="J2196" s="453"/>
      <c r="K2196" s="461"/>
      <c r="L2196" s="461"/>
      <c r="M2196" s="461"/>
      <c r="N2196" s="461"/>
      <c r="O2196" s="461"/>
      <c r="P2196" s="461"/>
      <c r="Q2196" s="461"/>
      <c r="R2196" s="461"/>
      <c r="S2196" s="461"/>
      <c r="T2196" s="461"/>
      <c r="U2196" s="461"/>
      <c r="V2196" s="461"/>
    </row>
    <row r="2197" spans="5:22" s="455" customFormat="1" hidden="1">
      <c r="E2197" s="452"/>
      <c r="F2197" s="452"/>
      <c r="G2197" s="452" t="s">
        <v>844</v>
      </c>
      <c r="H2197" s="452"/>
      <c r="I2197" s="453" t="s">
        <v>844</v>
      </c>
      <c r="J2197" s="453"/>
      <c r="K2197" s="461"/>
      <c r="L2197" s="461"/>
      <c r="M2197" s="461"/>
      <c r="N2197" s="461"/>
      <c r="O2197" s="461"/>
      <c r="P2197" s="461"/>
      <c r="Q2197" s="461"/>
      <c r="R2197" s="461"/>
      <c r="S2197" s="461"/>
      <c r="T2197" s="461"/>
      <c r="U2197" s="461"/>
      <c r="V2197" s="461"/>
    </row>
    <row r="2198" spans="5:22" s="455" customFormat="1" hidden="1">
      <c r="E2198" s="452"/>
      <c r="F2198" s="452"/>
      <c r="G2198" s="452" t="s">
        <v>844</v>
      </c>
      <c r="H2198" s="452"/>
      <c r="I2198" s="453" t="s">
        <v>844</v>
      </c>
      <c r="J2198" s="453"/>
      <c r="K2198" s="461"/>
      <c r="L2198" s="461"/>
      <c r="M2198" s="461"/>
      <c r="N2198" s="461"/>
      <c r="O2198" s="461"/>
      <c r="P2198" s="461"/>
      <c r="Q2198" s="461"/>
      <c r="R2198" s="461"/>
      <c r="S2198" s="461"/>
      <c r="T2198" s="461"/>
      <c r="U2198" s="461"/>
      <c r="V2198" s="461"/>
    </row>
    <row r="2199" spans="5:22" s="455" customFormat="1" hidden="1">
      <c r="E2199" s="452"/>
      <c r="F2199" s="452"/>
      <c r="G2199" s="452" t="s">
        <v>844</v>
      </c>
      <c r="H2199" s="452"/>
      <c r="I2199" s="453" t="s">
        <v>844</v>
      </c>
      <c r="J2199" s="453"/>
      <c r="K2199" s="461"/>
      <c r="L2199" s="461"/>
      <c r="M2199" s="461"/>
      <c r="N2199" s="461"/>
      <c r="O2199" s="461"/>
      <c r="P2199" s="461"/>
      <c r="Q2199" s="461"/>
      <c r="R2199" s="461"/>
      <c r="S2199" s="461"/>
      <c r="T2199" s="461"/>
      <c r="U2199" s="461"/>
      <c r="V2199" s="461"/>
    </row>
    <row r="2200" spans="5:22" s="455" customFormat="1" hidden="1">
      <c r="E2200" s="452"/>
      <c r="F2200" s="452"/>
      <c r="G2200" s="452" t="s">
        <v>844</v>
      </c>
      <c r="H2200" s="452"/>
      <c r="I2200" s="453" t="s">
        <v>844</v>
      </c>
      <c r="J2200" s="453"/>
      <c r="K2200" s="461"/>
      <c r="L2200" s="461"/>
      <c r="M2200" s="461"/>
      <c r="N2200" s="461"/>
      <c r="O2200" s="461"/>
      <c r="P2200" s="461"/>
      <c r="Q2200" s="461"/>
      <c r="R2200" s="461"/>
      <c r="S2200" s="461"/>
      <c r="T2200" s="461"/>
      <c r="U2200" s="461"/>
      <c r="V2200" s="461"/>
    </row>
    <row r="2201" spans="5:22" s="455" customFormat="1" hidden="1">
      <c r="E2201" s="452"/>
      <c r="F2201" s="452"/>
      <c r="G2201" s="452" t="s">
        <v>844</v>
      </c>
      <c r="H2201" s="452"/>
      <c r="I2201" s="453" t="s">
        <v>844</v>
      </c>
      <c r="J2201" s="453"/>
      <c r="K2201" s="461"/>
      <c r="L2201" s="461"/>
      <c r="M2201" s="461"/>
      <c r="N2201" s="461"/>
      <c r="O2201" s="461"/>
      <c r="P2201" s="461"/>
      <c r="Q2201" s="461"/>
      <c r="R2201" s="461"/>
      <c r="S2201" s="461"/>
      <c r="T2201" s="461"/>
      <c r="U2201" s="461"/>
      <c r="V2201" s="461"/>
    </row>
    <row r="2202" spans="5:22" s="455" customFormat="1" hidden="1">
      <c r="E2202" s="452"/>
      <c r="F2202" s="452"/>
      <c r="G2202" s="452" t="s">
        <v>844</v>
      </c>
      <c r="H2202" s="452"/>
      <c r="I2202" s="453" t="s">
        <v>844</v>
      </c>
      <c r="J2202" s="453"/>
      <c r="K2202" s="461"/>
      <c r="L2202" s="461"/>
      <c r="M2202" s="461"/>
      <c r="N2202" s="461"/>
      <c r="O2202" s="461"/>
      <c r="P2202" s="461"/>
      <c r="Q2202" s="461"/>
      <c r="R2202" s="461"/>
      <c r="S2202" s="461"/>
      <c r="T2202" s="461"/>
      <c r="U2202" s="461"/>
      <c r="V2202" s="461"/>
    </row>
    <row r="2203" spans="5:22" s="455" customFormat="1" hidden="1">
      <c r="E2203" s="452"/>
      <c r="F2203" s="452"/>
      <c r="G2203" s="452" t="s">
        <v>844</v>
      </c>
      <c r="H2203" s="452"/>
      <c r="I2203" s="453" t="s">
        <v>844</v>
      </c>
      <c r="J2203" s="453"/>
      <c r="K2203" s="461"/>
      <c r="L2203" s="461"/>
      <c r="M2203" s="461"/>
      <c r="N2203" s="461"/>
      <c r="O2203" s="461"/>
      <c r="P2203" s="461"/>
      <c r="Q2203" s="461"/>
      <c r="R2203" s="461"/>
      <c r="S2203" s="461"/>
      <c r="T2203" s="461"/>
      <c r="U2203" s="461"/>
      <c r="V2203" s="461"/>
    </row>
    <row r="2204" spans="5:22" s="455" customFormat="1" hidden="1">
      <c r="E2204" s="452"/>
      <c r="F2204" s="452"/>
      <c r="G2204" s="452" t="s">
        <v>844</v>
      </c>
      <c r="H2204" s="452"/>
      <c r="I2204" s="453" t="s">
        <v>844</v>
      </c>
      <c r="J2204" s="453"/>
      <c r="K2204" s="461"/>
      <c r="L2204" s="461"/>
      <c r="M2204" s="461"/>
      <c r="N2204" s="461"/>
      <c r="O2204" s="461"/>
      <c r="P2204" s="461"/>
      <c r="Q2204" s="461"/>
      <c r="R2204" s="461"/>
      <c r="S2204" s="461"/>
      <c r="T2204" s="461"/>
      <c r="U2204" s="461"/>
      <c r="V2204" s="461"/>
    </row>
    <row r="2205" spans="5:22" s="455" customFormat="1" hidden="1">
      <c r="E2205" s="452"/>
      <c r="F2205" s="452"/>
      <c r="G2205" s="452" t="s">
        <v>844</v>
      </c>
      <c r="H2205" s="452"/>
      <c r="I2205" s="453" t="s">
        <v>844</v>
      </c>
      <c r="J2205" s="453"/>
      <c r="K2205" s="461"/>
      <c r="L2205" s="461"/>
      <c r="M2205" s="461"/>
      <c r="N2205" s="461"/>
      <c r="O2205" s="461"/>
      <c r="P2205" s="461"/>
      <c r="Q2205" s="461"/>
      <c r="R2205" s="461"/>
      <c r="S2205" s="461"/>
      <c r="T2205" s="461"/>
      <c r="U2205" s="461"/>
      <c r="V2205" s="461"/>
    </row>
    <row r="2206" spans="5:22" s="455" customFormat="1" hidden="1">
      <c r="E2206" s="452"/>
      <c r="F2206" s="452"/>
      <c r="G2206" s="452" t="s">
        <v>844</v>
      </c>
      <c r="H2206" s="452"/>
      <c r="I2206" s="453" t="s">
        <v>844</v>
      </c>
      <c r="J2206" s="453"/>
      <c r="K2206" s="461"/>
      <c r="L2206" s="461"/>
      <c r="M2206" s="461"/>
      <c r="N2206" s="461"/>
      <c r="O2206" s="461"/>
      <c r="P2206" s="461"/>
      <c r="Q2206" s="461"/>
      <c r="R2206" s="461"/>
      <c r="S2206" s="461"/>
      <c r="T2206" s="461"/>
      <c r="U2206" s="461"/>
      <c r="V2206" s="461"/>
    </row>
    <row r="2207" spans="5:22" s="455" customFormat="1" hidden="1">
      <c r="E2207" s="452"/>
      <c r="F2207" s="452"/>
      <c r="G2207" s="452" t="s">
        <v>844</v>
      </c>
      <c r="H2207" s="452"/>
      <c r="I2207" s="453" t="s">
        <v>844</v>
      </c>
      <c r="J2207" s="453"/>
      <c r="K2207" s="461"/>
      <c r="L2207" s="461"/>
      <c r="M2207" s="461"/>
      <c r="N2207" s="461"/>
      <c r="O2207" s="461"/>
      <c r="P2207" s="461"/>
      <c r="Q2207" s="461"/>
      <c r="R2207" s="461"/>
      <c r="S2207" s="461"/>
      <c r="T2207" s="461"/>
      <c r="U2207" s="461"/>
      <c r="V2207" s="461"/>
    </row>
    <row r="2208" spans="5:22" s="455" customFormat="1" hidden="1">
      <c r="E2208" s="452"/>
      <c r="F2208" s="452"/>
      <c r="G2208" s="452" t="s">
        <v>844</v>
      </c>
      <c r="H2208" s="452"/>
      <c r="I2208" s="453" t="s">
        <v>844</v>
      </c>
      <c r="J2208" s="453"/>
      <c r="K2208" s="461"/>
      <c r="L2208" s="461"/>
      <c r="M2208" s="461"/>
      <c r="N2208" s="461"/>
      <c r="O2208" s="461"/>
      <c r="P2208" s="461"/>
      <c r="Q2208" s="461"/>
      <c r="R2208" s="461"/>
      <c r="S2208" s="461"/>
      <c r="T2208" s="461"/>
      <c r="U2208" s="461"/>
      <c r="V2208" s="461"/>
    </row>
    <row r="2209" spans="5:22" s="455" customFormat="1" hidden="1">
      <c r="E2209" s="452"/>
      <c r="F2209" s="452"/>
      <c r="G2209" s="452" t="s">
        <v>844</v>
      </c>
      <c r="H2209" s="452"/>
      <c r="I2209" s="453" t="s">
        <v>844</v>
      </c>
      <c r="J2209" s="453"/>
      <c r="K2209" s="461"/>
      <c r="L2209" s="461"/>
      <c r="M2209" s="461"/>
      <c r="N2209" s="461"/>
      <c r="O2209" s="461"/>
      <c r="P2209" s="461"/>
      <c r="Q2209" s="461"/>
      <c r="R2209" s="461"/>
      <c r="S2209" s="461"/>
      <c r="T2209" s="461"/>
      <c r="U2209" s="461"/>
      <c r="V2209" s="461"/>
    </row>
    <row r="2210" spans="5:22" s="455" customFormat="1" hidden="1">
      <c r="E2210" s="452"/>
      <c r="F2210" s="452"/>
      <c r="G2210" s="452" t="s">
        <v>844</v>
      </c>
      <c r="H2210" s="452"/>
      <c r="I2210" s="453" t="s">
        <v>844</v>
      </c>
      <c r="J2210" s="453"/>
      <c r="K2210" s="461"/>
      <c r="L2210" s="461"/>
      <c r="M2210" s="461"/>
      <c r="N2210" s="461"/>
      <c r="O2210" s="461"/>
      <c r="P2210" s="461"/>
      <c r="Q2210" s="461"/>
      <c r="R2210" s="461"/>
      <c r="S2210" s="461"/>
      <c r="T2210" s="461"/>
      <c r="U2210" s="461"/>
      <c r="V2210" s="461"/>
    </row>
    <row r="2211" spans="5:22" s="455" customFormat="1" hidden="1">
      <c r="E2211" s="452"/>
      <c r="F2211" s="452"/>
      <c r="G2211" s="452" t="s">
        <v>844</v>
      </c>
      <c r="H2211" s="452"/>
      <c r="I2211" s="453" t="s">
        <v>844</v>
      </c>
      <c r="J2211" s="453"/>
      <c r="K2211" s="461"/>
      <c r="L2211" s="461"/>
      <c r="M2211" s="461"/>
      <c r="N2211" s="461"/>
      <c r="O2211" s="461"/>
      <c r="P2211" s="461"/>
      <c r="Q2211" s="461"/>
      <c r="R2211" s="461"/>
      <c r="S2211" s="461"/>
      <c r="T2211" s="461"/>
      <c r="U2211" s="461"/>
      <c r="V2211" s="461"/>
    </row>
    <row r="2212" spans="5:22" s="455" customFormat="1" hidden="1">
      <c r="E2212" s="452"/>
      <c r="F2212" s="452"/>
      <c r="G2212" s="452" t="s">
        <v>844</v>
      </c>
      <c r="H2212" s="452"/>
      <c r="I2212" s="453" t="s">
        <v>844</v>
      </c>
      <c r="J2212" s="453"/>
      <c r="K2212" s="461"/>
      <c r="L2212" s="461"/>
      <c r="M2212" s="461"/>
      <c r="N2212" s="461"/>
      <c r="O2212" s="461"/>
      <c r="P2212" s="461"/>
      <c r="Q2212" s="461"/>
      <c r="R2212" s="461"/>
      <c r="S2212" s="461"/>
      <c r="T2212" s="461"/>
      <c r="U2212" s="461"/>
      <c r="V2212" s="461"/>
    </row>
    <row r="2213" spans="5:22" s="455" customFormat="1" hidden="1">
      <c r="E2213" s="452"/>
      <c r="F2213" s="452"/>
      <c r="G2213" s="452" t="s">
        <v>844</v>
      </c>
      <c r="H2213" s="452"/>
      <c r="I2213" s="453" t="s">
        <v>844</v>
      </c>
      <c r="J2213" s="453"/>
      <c r="K2213" s="461"/>
      <c r="L2213" s="461"/>
      <c r="M2213" s="461"/>
      <c r="N2213" s="461"/>
      <c r="O2213" s="461"/>
      <c r="P2213" s="461"/>
      <c r="Q2213" s="461"/>
      <c r="R2213" s="461"/>
      <c r="S2213" s="461"/>
      <c r="T2213" s="461"/>
      <c r="U2213" s="461"/>
      <c r="V2213" s="461"/>
    </row>
    <row r="2214" spans="5:22" s="455" customFormat="1" hidden="1">
      <c r="E2214" s="452"/>
      <c r="F2214" s="452"/>
      <c r="G2214" s="452" t="s">
        <v>844</v>
      </c>
      <c r="H2214" s="452"/>
      <c r="I2214" s="453" t="s">
        <v>844</v>
      </c>
      <c r="J2214" s="453"/>
      <c r="K2214" s="461"/>
      <c r="L2214" s="461"/>
      <c r="M2214" s="461"/>
      <c r="N2214" s="461"/>
      <c r="O2214" s="461"/>
      <c r="P2214" s="461"/>
      <c r="Q2214" s="461"/>
      <c r="R2214" s="461"/>
      <c r="S2214" s="461"/>
      <c r="T2214" s="461"/>
      <c r="U2214" s="461"/>
      <c r="V2214" s="461"/>
    </row>
    <row r="2215" spans="5:22" s="455" customFormat="1" hidden="1">
      <c r="E2215" s="452"/>
      <c r="F2215" s="452"/>
      <c r="G2215" s="452" t="s">
        <v>844</v>
      </c>
      <c r="H2215" s="452"/>
      <c r="I2215" s="453" t="s">
        <v>844</v>
      </c>
      <c r="J2215" s="453"/>
      <c r="K2215" s="461"/>
      <c r="L2215" s="461"/>
      <c r="M2215" s="461"/>
      <c r="N2215" s="461"/>
      <c r="O2215" s="461"/>
      <c r="P2215" s="461"/>
      <c r="Q2215" s="461"/>
      <c r="R2215" s="461"/>
      <c r="S2215" s="461"/>
      <c r="T2215" s="461"/>
      <c r="U2215" s="461"/>
      <c r="V2215" s="461"/>
    </row>
    <row r="2216" spans="5:22" s="455" customFormat="1" hidden="1">
      <c r="E2216" s="452"/>
      <c r="F2216" s="452"/>
      <c r="G2216" s="452" t="s">
        <v>844</v>
      </c>
      <c r="H2216" s="452"/>
      <c r="I2216" s="453" t="s">
        <v>844</v>
      </c>
      <c r="J2216" s="453"/>
      <c r="K2216" s="461"/>
      <c r="L2216" s="461"/>
      <c r="M2216" s="461"/>
      <c r="N2216" s="461"/>
      <c r="O2216" s="461"/>
      <c r="P2216" s="461"/>
      <c r="Q2216" s="461"/>
      <c r="R2216" s="461"/>
      <c r="S2216" s="461"/>
      <c r="T2216" s="461"/>
      <c r="U2216" s="461"/>
      <c r="V2216" s="461"/>
    </row>
    <row r="2217" spans="5:22" s="455" customFormat="1" hidden="1">
      <c r="E2217" s="452"/>
      <c r="F2217" s="452"/>
      <c r="G2217" s="452" t="s">
        <v>844</v>
      </c>
      <c r="H2217" s="452"/>
      <c r="I2217" s="453" t="s">
        <v>844</v>
      </c>
      <c r="J2217" s="453"/>
      <c r="K2217" s="461"/>
      <c r="L2217" s="461"/>
      <c r="M2217" s="461"/>
      <c r="N2217" s="461"/>
      <c r="O2217" s="461"/>
      <c r="P2217" s="461"/>
      <c r="Q2217" s="461"/>
      <c r="R2217" s="461"/>
      <c r="S2217" s="461"/>
      <c r="T2217" s="461"/>
      <c r="U2217" s="461"/>
      <c r="V2217" s="461"/>
    </row>
    <row r="2218" spans="5:22" s="455" customFormat="1" hidden="1">
      <c r="E2218" s="452"/>
      <c r="F2218" s="452"/>
      <c r="G2218" s="452" t="s">
        <v>844</v>
      </c>
      <c r="H2218" s="452"/>
      <c r="I2218" s="453" t="s">
        <v>844</v>
      </c>
      <c r="J2218" s="453"/>
      <c r="K2218" s="461"/>
      <c r="L2218" s="461"/>
      <c r="M2218" s="461"/>
      <c r="N2218" s="461"/>
      <c r="O2218" s="461"/>
      <c r="P2218" s="461"/>
      <c r="Q2218" s="461"/>
      <c r="R2218" s="461"/>
      <c r="S2218" s="461"/>
      <c r="T2218" s="461"/>
      <c r="U2218" s="461"/>
      <c r="V2218" s="461"/>
    </row>
    <row r="2219" spans="5:22" s="455" customFormat="1" hidden="1">
      <c r="E2219" s="452"/>
      <c r="F2219" s="452"/>
      <c r="G2219" s="452" t="s">
        <v>844</v>
      </c>
      <c r="H2219" s="452"/>
      <c r="I2219" s="453" t="s">
        <v>844</v>
      </c>
      <c r="J2219" s="453"/>
      <c r="K2219" s="461"/>
      <c r="L2219" s="461"/>
      <c r="M2219" s="461"/>
      <c r="N2219" s="461"/>
      <c r="O2219" s="461"/>
      <c r="P2219" s="461"/>
      <c r="Q2219" s="461"/>
      <c r="R2219" s="461"/>
      <c r="S2219" s="461"/>
      <c r="T2219" s="461"/>
      <c r="U2219" s="461"/>
      <c r="V2219" s="461"/>
    </row>
    <row r="2220" spans="5:22" s="455" customFormat="1" hidden="1">
      <c r="E2220" s="452"/>
      <c r="F2220" s="452"/>
      <c r="G2220" s="452" t="s">
        <v>844</v>
      </c>
      <c r="H2220" s="452"/>
      <c r="I2220" s="453" t="s">
        <v>844</v>
      </c>
      <c r="J2220" s="453"/>
      <c r="K2220" s="461"/>
      <c r="L2220" s="461"/>
      <c r="M2220" s="461"/>
      <c r="N2220" s="461"/>
      <c r="O2220" s="461"/>
      <c r="P2220" s="461"/>
      <c r="Q2220" s="461"/>
      <c r="R2220" s="461"/>
      <c r="S2220" s="461"/>
      <c r="T2220" s="461"/>
      <c r="U2220" s="461"/>
      <c r="V2220" s="461"/>
    </row>
    <row r="2221" spans="5:22" s="455" customFormat="1" hidden="1">
      <c r="E2221" s="452"/>
      <c r="F2221" s="452"/>
      <c r="G2221" s="452" t="s">
        <v>844</v>
      </c>
      <c r="H2221" s="452"/>
      <c r="I2221" s="453" t="s">
        <v>844</v>
      </c>
      <c r="J2221" s="453"/>
      <c r="K2221" s="461"/>
      <c r="L2221" s="461"/>
      <c r="M2221" s="461"/>
      <c r="N2221" s="461"/>
      <c r="O2221" s="461"/>
      <c r="P2221" s="461"/>
      <c r="Q2221" s="461"/>
      <c r="R2221" s="461"/>
      <c r="S2221" s="461"/>
      <c r="T2221" s="461"/>
      <c r="U2221" s="461"/>
      <c r="V2221" s="461"/>
    </row>
    <row r="2222" spans="5:22" s="455" customFormat="1" hidden="1">
      <c r="E2222" s="452"/>
      <c r="F2222" s="452"/>
      <c r="G2222" s="452" t="s">
        <v>844</v>
      </c>
      <c r="H2222" s="452"/>
      <c r="I2222" s="453" t="s">
        <v>844</v>
      </c>
      <c r="J2222" s="453"/>
      <c r="K2222" s="461"/>
      <c r="L2222" s="461"/>
      <c r="M2222" s="461"/>
      <c r="N2222" s="461"/>
      <c r="O2222" s="461"/>
      <c r="P2222" s="461"/>
      <c r="Q2222" s="461"/>
      <c r="R2222" s="461"/>
      <c r="S2222" s="461"/>
      <c r="T2222" s="461"/>
      <c r="U2222" s="461"/>
      <c r="V2222" s="461"/>
    </row>
    <row r="2223" spans="5:22" s="455" customFormat="1" hidden="1">
      <c r="E2223" s="452"/>
      <c r="F2223" s="452"/>
      <c r="G2223" s="452" t="s">
        <v>844</v>
      </c>
      <c r="H2223" s="452"/>
      <c r="I2223" s="453" t="s">
        <v>844</v>
      </c>
      <c r="J2223" s="453"/>
      <c r="K2223" s="461"/>
      <c r="L2223" s="461"/>
      <c r="M2223" s="461"/>
      <c r="N2223" s="461"/>
      <c r="O2223" s="461"/>
      <c r="P2223" s="461"/>
      <c r="Q2223" s="461"/>
      <c r="R2223" s="461"/>
      <c r="S2223" s="461"/>
      <c r="T2223" s="461"/>
      <c r="U2223" s="461"/>
      <c r="V2223" s="461"/>
    </row>
    <row r="2224" spans="5:22" s="455" customFormat="1" hidden="1">
      <c r="E2224" s="452"/>
      <c r="F2224" s="452"/>
      <c r="G2224" s="452" t="s">
        <v>844</v>
      </c>
      <c r="H2224" s="452"/>
      <c r="I2224" s="453" t="s">
        <v>844</v>
      </c>
      <c r="J2224" s="453"/>
      <c r="K2224" s="461"/>
      <c r="L2224" s="461"/>
      <c r="M2224" s="461"/>
      <c r="N2224" s="461"/>
      <c r="O2224" s="461"/>
      <c r="P2224" s="461"/>
      <c r="Q2224" s="461"/>
      <c r="R2224" s="461"/>
      <c r="S2224" s="461"/>
      <c r="T2224" s="461"/>
      <c r="U2224" s="461"/>
      <c r="V2224" s="461"/>
    </row>
    <row r="2225" spans="5:22" s="455" customFormat="1" hidden="1">
      <c r="E2225" s="452"/>
      <c r="F2225" s="452"/>
      <c r="G2225" s="452" t="s">
        <v>844</v>
      </c>
      <c r="H2225" s="452"/>
      <c r="I2225" s="453" t="s">
        <v>844</v>
      </c>
      <c r="J2225" s="453"/>
      <c r="K2225" s="461"/>
      <c r="L2225" s="461"/>
      <c r="M2225" s="461"/>
      <c r="N2225" s="461"/>
      <c r="O2225" s="461"/>
      <c r="P2225" s="461"/>
      <c r="Q2225" s="461"/>
      <c r="R2225" s="461"/>
      <c r="S2225" s="461"/>
      <c r="T2225" s="461"/>
      <c r="U2225" s="461"/>
      <c r="V2225" s="461"/>
    </row>
    <row r="2226" spans="5:22" s="455" customFormat="1" hidden="1">
      <c r="E2226" s="452"/>
      <c r="F2226" s="452"/>
      <c r="G2226" s="452" t="s">
        <v>844</v>
      </c>
      <c r="H2226" s="452"/>
      <c r="I2226" s="453" t="s">
        <v>844</v>
      </c>
      <c r="J2226" s="453"/>
      <c r="K2226" s="461"/>
      <c r="L2226" s="461"/>
      <c r="M2226" s="461"/>
      <c r="N2226" s="461"/>
      <c r="O2226" s="461"/>
      <c r="P2226" s="461"/>
      <c r="Q2226" s="461"/>
      <c r="R2226" s="461"/>
      <c r="S2226" s="461"/>
      <c r="T2226" s="461"/>
      <c r="U2226" s="461"/>
      <c r="V2226" s="461"/>
    </row>
    <row r="2227" spans="5:22" s="455" customFormat="1" hidden="1">
      <c r="E2227" s="452"/>
      <c r="F2227" s="452"/>
      <c r="G2227" s="452" t="s">
        <v>844</v>
      </c>
      <c r="H2227" s="452"/>
      <c r="I2227" s="453" t="s">
        <v>844</v>
      </c>
      <c r="J2227" s="453"/>
      <c r="K2227" s="461"/>
      <c r="L2227" s="461"/>
      <c r="M2227" s="461"/>
      <c r="N2227" s="461"/>
      <c r="O2227" s="461"/>
      <c r="P2227" s="461"/>
      <c r="Q2227" s="461"/>
      <c r="R2227" s="461"/>
      <c r="S2227" s="461"/>
      <c r="T2227" s="461"/>
      <c r="U2227" s="461"/>
      <c r="V2227" s="461"/>
    </row>
    <row r="2228" spans="5:22" s="455" customFormat="1" hidden="1">
      <c r="E2228" s="452"/>
      <c r="F2228" s="452"/>
      <c r="G2228" s="452" t="s">
        <v>844</v>
      </c>
      <c r="H2228" s="452"/>
      <c r="I2228" s="453" t="s">
        <v>844</v>
      </c>
      <c r="J2228" s="453"/>
      <c r="K2228" s="461"/>
      <c r="L2228" s="461"/>
      <c r="M2228" s="461"/>
      <c r="N2228" s="461"/>
      <c r="O2228" s="461"/>
      <c r="P2228" s="461"/>
      <c r="Q2228" s="461"/>
      <c r="R2228" s="461"/>
      <c r="S2228" s="461"/>
      <c r="T2228" s="461"/>
      <c r="U2228" s="461"/>
      <c r="V2228" s="461"/>
    </row>
    <row r="2229" spans="5:22" s="455" customFormat="1" hidden="1">
      <c r="E2229" s="452"/>
      <c r="F2229" s="452"/>
      <c r="G2229" s="452" t="s">
        <v>844</v>
      </c>
      <c r="H2229" s="452"/>
      <c r="I2229" s="453" t="s">
        <v>844</v>
      </c>
      <c r="J2229" s="453"/>
      <c r="K2229" s="461"/>
      <c r="L2229" s="461"/>
      <c r="M2229" s="461"/>
      <c r="N2229" s="461"/>
      <c r="O2229" s="461"/>
      <c r="P2229" s="461"/>
      <c r="Q2229" s="461"/>
      <c r="R2229" s="461"/>
      <c r="S2229" s="461"/>
      <c r="T2229" s="461"/>
      <c r="U2229" s="461"/>
      <c r="V2229" s="461"/>
    </row>
    <row r="2230" spans="5:22" s="455" customFormat="1" hidden="1">
      <c r="E2230" s="452"/>
      <c r="F2230" s="452"/>
      <c r="G2230" s="452" t="s">
        <v>844</v>
      </c>
      <c r="H2230" s="452"/>
      <c r="I2230" s="453" t="s">
        <v>844</v>
      </c>
      <c r="J2230" s="453"/>
      <c r="K2230" s="461"/>
      <c r="L2230" s="461"/>
      <c r="M2230" s="461"/>
      <c r="N2230" s="461"/>
      <c r="O2230" s="461"/>
      <c r="P2230" s="461"/>
      <c r="Q2230" s="461"/>
      <c r="R2230" s="461"/>
      <c r="S2230" s="461"/>
      <c r="T2230" s="461"/>
      <c r="U2230" s="461"/>
      <c r="V2230" s="461"/>
    </row>
    <row r="2231" spans="5:22" s="455" customFormat="1" hidden="1">
      <c r="E2231" s="452"/>
      <c r="F2231" s="452"/>
      <c r="G2231" s="452" t="s">
        <v>844</v>
      </c>
      <c r="H2231" s="452"/>
      <c r="I2231" s="453" t="s">
        <v>844</v>
      </c>
      <c r="J2231" s="453"/>
      <c r="K2231" s="461"/>
      <c r="L2231" s="461"/>
      <c r="M2231" s="461"/>
      <c r="N2231" s="461"/>
      <c r="O2231" s="461"/>
      <c r="P2231" s="461"/>
      <c r="Q2231" s="461"/>
      <c r="R2231" s="461"/>
      <c r="S2231" s="461"/>
      <c r="T2231" s="461"/>
      <c r="U2231" s="461"/>
      <c r="V2231" s="461"/>
    </row>
    <row r="2232" spans="5:22" s="455" customFormat="1" hidden="1">
      <c r="E2232" s="452"/>
      <c r="F2232" s="452"/>
      <c r="G2232" s="452" t="s">
        <v>844</v>
      </c>
      <c r="H2232" s="452"/>
      <c r="I2232" s="453" t="s">
        <v>844</v>
      </c>
      <c r="J2232" s="453"/>
      <c r="K2232" s="461"/>
      <c r="L2232" s="461"/>
      <c r="M2232" s="461"/>
      <c r="N2232" s="461"/>
      <c r="O2232" s="461"/>
      <c r="P2232" s="461"/>
      <c r="Q2232" s="461"/>
      <c r="R2232" s="461"/>
      <c r="S2232" s="461"/>
      <c r="T2232" s="461"/>
      <c r="U2232" s="461"/>
      <c r="V2232" s="461"/>
    </row>
    <row r="2233" spans="5:22" s="455" customFormat="1" hidden="1">
      <c r="E2233" s="452"/>
      <c r="F2233" s="452"/>
      <c r="G2233" s="452" t="s">
        <v>844</v>
      </c>
      <c r="H2233" s="452"/>
      <c r="I2233" s="453" t="s">
        <v>844</v>
      </c>
      <c r="J2233" s="453"/>
      <c r="K2233" s="461"/>
      <c r="L2233" s="461"/>
      <c r="M2233" s="461"/>
      <c r="N2233" s="461"/>
      <c r="O2233" s="461"/>
      <c r="P2233" s="461"/>
      <c r="Q2233" s="461"/>
      <c r="R2233" s="461"/>
      <c r="S2233" s="461"/>
      <c r="T2233" s="461"/>
      <c r="U2233" s="461"/>
      <c r="V2233" s="461"/>
    </row>
    <row r="2234" spans="5:22" s="455" customFormat="1" hidden="1">
      <c r="E2234" s="452"/>
      <c r="F2234" s="452"/>
      <c r="G2234" s="452" t="s">
        <v>844</v>
      </c>
      <c r="H2234" s="452"/>
      <c r="I2234" s="453" t="s">
        <v>844</v>
      </c>
      <c r="J2234" s="453"/>
      <c r="K2234" s="461"/>
      <c r="L2234" s="461"/>
      <c r="M2234" s="461"/>
      <c r="N2234" s="461"/>
      <c r="O2234" s="461"/>
      <c r="P2234" s="461"/>
      <c r="Q2234" s="461"/>
      <c r="R2234" s="461"/>
      <c r="S2234" s="461"/>
      <c r="T2234" s="461"/>
      <c r="U2234" s="461"/>
      <c r="V2234" s="461"/>
    </row>
    <row r="2235" spans="5:22" s="455" customFormat="1" hidden="1">
      <c r="E2235" s="452"/>
      <c r="F2235" s="452"/>
      <c r="G2235" s="452" t="s">
        <v>844</v>
      </c>
      <c r="H2235" s="452"/>
      <c r="I2235" s="453" t="s">
        <v>844</v>
      </c>
      <c r="J2235" s="453"/>
      <c r="K2235" s="461"/>
      <c r="L2235" s="461"/>
      <c r="M2235" s="461"/>
      <c r="N2235" s="461"/>
      <c r="O2235" s="461"/>
      <c r="P2235" s="461"/>
      <c r="Q2235" s="461"/>
      <c r="R2235" s="461"/>
      <c r="S2235" s="461"/>
      <c r="T2235" s="461"/>
      <c r="U2235" s="461"/>
      <c r="V2235" s="461"/>
    </row>
    <row r="2236" spans="5:22" s="455" customFormat="1" hidden="1">
      <c r="E2236" s="452"/>
      <c r="F2236" s="452"/>
      <c r="G2236" s="452" t="s">
        <v>844</v>
      </c>
      <c r="H2236" s="452"/>
      <c r="I2236" s="453" t="s">
        <v>844</v>
      </c>
      <c r="J2236" s="453"/>
      <c r="K2236" s="461"/>
      <c r="L2236" s="461"/>
      <c r="M2236" s="461"/>
      <c r="N2236" s="461"/>
      <c r="O2236" s="461"/>
      <c r="P2236" s="461"/>
      <c r="Q2236" s="461"/>
      <c r="R2236" s="461"/>
      <c r="S2236" s="461"/>
      <c r="T2236" s="461"/>
      <c r="U2236" s="461"/>
      <c r="V2236" s="461"/>
    </row>
    <row r="2237" spans="5:22" s="455" customFormat="1" hidden="1">
      <c r="E2237" s="452"/>
      <c r="F2237" s="452"/>
      <c r="G2237" s="452" t="s">
        <v>844</v>
      </c>
      <c r="H2237" s="452"/>
      <c r="I2237" s="453" t="s">
        <v>844</v>
      </c>
      <c r="J2237" s="453"/>
      <c r="K2237" s="461"/>
      <c r="L2237" s="461"/>
      <c r="M2237" s="461"/>
      <c r="N2237" s="461"/>
      <c r="O2237" s="461"/>
      <c r="P2237" s="461"/>
      <c r="Q2237" s="461"/>
      <c r="R2237" s="461"/>
      <c r="S2237" s="461"/>
      <c r="T2237" s="461"/>
      <c r="U2237" s="461"/>
      <c r="V2237" s="461"/>
    </row>
    <row r="2238" spans="5:22" s="455" customFormat="1" hidden="1">
      <c r="E2238" s="452"/>
      <c r="F2238" s="452"/>
      <c r="G2238" s="452" t="s">
        <v>844</v>
      </c>
      <c r="H2238" s="452"/>
      <c r="I2238" s="453" t="s">
        <v>844</v>
      </c>
      <c r="J2238" s="453"/>
      <c r="K2238" s="461"/>
      <c r="L2238" s="461"/>
      <c r="M2238" s="461"/>
      <c r="N2238" s="461"/>
      <c r="O2238" s="461"/>
      <c r="P2238" s="461"/>
      <c r="Q2238" s="461"/>
      <c r="R2238" s="461"/>
      <c r="S2238" s="461"/>
      <c r="T2238" s="461"/>
      <c r="U2238" s="461"/>
      <c r="V2238" s="461"/>
    </row>
    <row r="2239" spans="5:22" s="455" customFormat="1" hidden="1">
      <c r="E2239" s="452"/>
      <c r="F2239" s="452"/>
      <c r="G2239" s="452" t="s">
        <v>844</v>
      </c>
      <c r="H2239" s="452"/>
      <c r="I2239" s="453" t="s">
        <v>844</v>
      </c>
      <c r="J2239" s="453"/>
      <c r="K2239" s="461"/>
      <c r="L2239" s="461"/>
      <c r="M2239" s="461"/>
      <c r="N2239" s="461"/>
      <c r="O2239" s="461"/>
      <c r="P2239" s="461"/>
      <c r="Q2239" s="461"/>
      <c r="R2239" s="461"/>
      <c r="S2239" s="461"/>
      <c r="T2239" s="461"/>
      <c r="U2239" s="461"/>
      <c r="V2239" s="461"/>
    </row>
    <row r="2240" spans="5:22" s="455" customFormat="1" hidden="1">
      <c r="E2240" s="452"/>
      <c r="F2240" s="452"/>
      <c r="G2240" s="452" t="s">
        <v>844</v>
      </c>
      <c r="H2240" s="452"/>
      <c r="I2240" s="453" t="s">
        <v>844</v>
      </c>
      <c r="J2240" s="453"/>
      <c r="K2240" s="461"/>
      <c r="L2240" s="461"/>
      <c r="M2240" s="461"/>
      <c r="N2240" s="461"/>
      <c r="O2240" s="461"/>
      <c r="P2240" s="461"/>
      <c r="Q2240" s="461"/>
      <c r="R2240" s="461"/>
      <c r="S2240" s="461"/>
      <c r="T2240" s="461"/>
      <c r="U2240" s="461"/>
      <c r="V2240" s="461"/>
    </row>
    <row r="2241" spans="5:22" s="455" customFormat="1" hidden="1">
      <c r="E2241" s="452"/>
      <c r="F2241" s="452"/>
      <c r="G2241" s="452" t="s">
        <v>844</v>
      </c>
      <c r="H2241" s="452"/>
      <c r="I2241" s="453" t="s">
        <v>844</v>
      </c>
      <c r="J2241" s="453"/>
      <c r="K2241" s="461"/>
      <c r="L2241" s="461"/>
      <c r="M2241" s="461"/>
      <c r="N2241" s="461"/>
      <c r="O2241" s="461"/>
      <c r="P2241" s="461"/>
      <c r="Q2241" s="461"/>
      <c r="R2241" s="461"/>
      <c r="S2241" s="461"/>
      <c r="T2241" s="461"/>
      <c r="U2241" s="461"/>
      <c r="V2241" s="461"/>
    </row>
    <row r="2242" spans="5:22" s="455" customFormat="1" hidden="1">
      <c r="E2242" s="452"/>
      <c r="F2242" s="452"/>
      <c r="G2242" s="452" t="s">
        <v>844</v>
      </c>
      <c r="H2242" s="452"/>
      <c r="I2242" s="453" t="s">
        <v>844</v>
      </c>
      <c r="J2242" s="453"/>
      <c r="K2242" s="461"/>
      <c r="L2242" s="461"/>
      <c r="M2242" s="461"/>
      <c r="N2242" s="461"/>
      <c r="O2242" s="461"/>
      <c r="P2242" s="461"/>
      <c r="Q2242" s="461"/>
      <c r="R2242" s="461"/>
      <c r="S2242" s="461"/>
      <c r="T2242" s="461"/>
      <c r="U2242" s="461"/>
      <c r="V2242" s="461"/>
    </row>
    <row r="2243" spans="5:22" s="455" customFormat="1" hidden="1">
      <c r="E2243" s="452"/>
      <c r="F2243" s="452"/>
      <c r="G2243" s="452" t="s">
        <v>844</v>
      </c>
      <c r="H2243" s="452"/>
      <c r="I2243" s="453" t="s">
        <v>844</v>
      </c>
      <c r="J2243" s="453"/>
      <c r="K2243" s="461"/>
      <c r="L2243" s="461"/>
      <c r="M2243" s="461"/>
      <c r="N2243" s="461"/>
      <c r="O2243" s="461"/>
      <c r="P2243" s="461"/>
      <c r="Q2243" s="461"/>
      <c r="R2243" s="461"/>
      <c r="S2243" s="461"/>
      <c r="T2243" s="461"/>
      <c r="U2243" s="461"/>
      <c r="V2243" s="461"/>
    </row>
    <row r="2244" spans="5:22" s="455" customFormat="1" hidden="1">
      <c r="E2244" s="452"/>
      <c r="F2244" s="452"/>
      <c r="G2244" s="452" t="s">
        <v>844</v>
      </c>
      <c r="H2244" s="452"/>
      <c r="I2244" s="453" t="s">
        <v>844</v>
      </c>
      <c r="J2244" s="453"/>
      <c r="K2244" s="461"/>
      <c r="L2244" s="461"/>
      <c r="M2244" s="461"/>
      <c r="N2244" s="461"/>
      <c r="O2244" s="461"/>
      <c r="P2244" s="461"/>
      <c r="Q2244" s="461"/>
      <c r="R2244" s="461"/>
      <c r="S2244" s="461"/>
      <c r="T2244" s="461"/>
      <c r="U2244" s="461"/>
      <c r="V2244" s="461"/>
    </row>
    <row r="2245" spans="5:22" s="455" customFormat="1" hidden="1">
      <c r="E2245" s="452"/>
      <c r="F2245" s="452"/>
      <c r="G2245" s="452" t="s">
        <v>844</v>
      </c>
      <c r="H2245" s="452"/>
      <c r="I2245" s="453" t="s">
        <v>844</v>
      </c>
      <c r="J2245" s="453"/>
      <c r="K2245" s="461"/>
      <c r="L2245" s="461"/>
      <c r="M2245" s="461"/>
      <c r="N2245" s="461"/>
      <c r="O2245" s="461"/>
      <c r="P2245" s="461"/>
      <c r="Q2245" s="461"/>
      <c r="R2245" s="461"/>
      <c r="S2245" s="461"/>
      <c r="T2245" s="461"/>
      <c r="U2245" s="461"/>
      <c r="V2245" s="461"/>
    </row>
    <row r="2246" spans="5:22" s="455" customFormat="1" hidden="1">
      <c r="E2246" s="452"/>
      <c r="F2246" s="452"/>
      <c r="G2246" s="452" t="s">
        <v>844</v>
      </c>
      <c r="H2246" s="452"/>
      <c r="I2246" s="453" t="s">
        <v>844</v>
      </c>
      <c r="J2246" s="453"/>
      <c r="K2246" s="461"/>
      <c r="L2246" s="461"/>
      <c r="M2246" s="461"/>
      <c r="N2246" s="461"/>
      <c r="O2246" s="461"/>
      <c r="P2246" s="461"/>
      <c r="Q2246" s="461"/>
      <c r="R2246" s="461"/>
      <c r="S2246" s="461"/>
      <c r="T2246" s="461"/>
      <c r="U2246" s="461"/>
      <c r="V2246" s="461"/>
    </row>
    <row r="2247" spans="5:22" s="455" customFormat="1" hidden="1">
      <c r="E2247" s="452"/>
      <c r="F2247" s="452"/>
      <c r="G2247" s="452" t="s">
        <v>844</v>
      </c>
      <c r="H2247" s="452"/>
      <c r="I2247" s="453" t="s">
        <v>844</v>
      </c>
      <c r="J2247" s="453"/>
      <c r="K2247" s="461"/>
      <c r="L2247" s="461"/>
      <c r="M2247" s="461"/>
      <c r="N2247" s="461"/>
      <c r="O2247" s="461"/>
      <c r="P2247" s="461"/>
      <c r="Q2247" s="461"/>
      <c r="R2247" s="461"/>
      <c r="S2247" s="461"/>
      <c r="T2247" s="461"/>
      <c r="U2247" s="461"/>
      <c r="V2247" s="461"/>
    </row>
    <row r="2248" spans="5:22" s="455" customFormat="1" hidden="1">
      <c r="E2248" s="452"/>
      <c r="F2248" s="452"/>
      <c r="G2248" s="452" t="s">
        <v>844</v>
      </c>
      <c r="H2248" s="452"/>
      <c r="I2248" s="453" t="s">
        <v>844</v>
      </c>
      <c r="J2248" s="453"/>
      <c r="K2248" s="461"/>
      <c r="L2248" s="461"/>
      <c r="M2248" s="461"/>
      <c r="N2248" s="461"/>
      <c r="O2248" s="461"/>
      <c r="P2248" s="461"/>
      <c r="Q2248" s="461"/>
      <c r="R2248" s="461"/>
      <c r="S2248" s="461"/>
      <c r="T2248" s="461"/>
      <c r="U2248" s="461"/>
      <c r="V2248" s="461"/>
    </row>
    <row r="2249" spans="5:22" s="455" customFormat="1" hidden="1">
      <c r="E2249" s="452"/>
      <c r="F2249" s="452"/>
      <c r="G2249" s="452" t="s">
        <v>844</v>
      </c>
      <c r="H2249" s="452"/>
      <c r="I2249" s="453" t="s">
        <v>844</v>
      </c>
      <c r="J2249" s="453"/>
      <c r="K2249" s="461"/>
      <c r="L2249" s="461"/>
      <c r="M2249" s="461"/>
      <c r="N2249" s="461"/>
      <c r="O2249" s="461"/>
      <c r="P2249" s="461"/>
      <c r="Q2249" s="461"/>
      <c r="R2249" s="461"/>
      <c r="S2249" s="461"/>
      <c r="T2249" s="461"/>
      <c r="U2249" s="461"/>
      <c r="V2249" s="461"/>
    </row>
    <row r="2250" spans="5:22" s="455" customFormat="1" hidden="1">
      <c r="E2250" s="452"/>
      <c r="F2250" s="452"/>
      <c r="G2250" s="452" t="s">
        <v>844</v>
      </c>
      <c r="H2250" s="452"/>
      <c r="I2250" s="453" t="s">
        <v>844</v>
      </c>
      <c r="J2250" s="453"/>
      <c r="K2250" s="461"/>
      <c r="L2250" s="461"/>
      <c r="M2250" s="461"/>
      <c r="N2250" s="461"/>
      <c r="O2250" s="461"/>
      <c r="P2250" s="461"/>
      <c r="Q2250" s="461"/>
      <c r="R2250" s="461"/>
      <c r="S2250" s="461"/>
      <c r="T2250" s="461"/>
      <c r="U2250" s="461"/>
      <c r="V2250" s="461"/>
    </row>
    <row r="2251" spans="5:22" s="455" customFormat="1" hidden="1">
      <c r="E2251" s="452"/>
      <c r="F2251" s="452"/>
      <c r="G2251" s="452" t="s">
        <v>844</v>
      </c>
      <c r="H2251" s="452"/>
      <c r="I2251" s="453" t="s">
        <v>844</v>
      </c>
      <c r="J2251" s="453"/>
      <c r="K2251" s="461"/>
      <c r="L2251" s="461"/>
      <c r="M2251" s="461"/>
      <c r="N2251" s="461"/>
      <c r="O2251" s="461"/>
      <c r="P2251" s="461"/>
      <c r="Q2251" s="461"/>
      <c r="R2251" s="461"/>
      <c r="S2251" s="461"/>
      <c r="T2251" s="461"/>
      <c r="U2251" s="461"/>
      <c r="V2251" s="461"/>
    </row>
    <row r="2252" spans="5:22" s="455" customFormat="1" hidden="1">
      <c r="E2252" s="452"/>
      <c r="F2252" s="452"/>
      <c r="G2252" s="452" t="s">
        <v>844</v>
      </c>
      <c r="H2252" s="452"/>
      <c r="I2252" s="453" t="s">
        <v>844</v>
      </c>
      <c r="J2252" s="453"/>
      <c r="K2252" s="461"/>
      <c r="L2252" s="461"/>
      <c r="M2252" s="461"/>
      <c r="N2252" s="461"/>
      <c r="O2252" s="461"/>
      <c r="P2252" s="461"/>
      <c r="Q2252" s="461"/>
      <c r="R2252" s="461"/>
      <c r="S2252" s="461"/>
      <c r="T2252" s="461"/>
      <c r="U2252" s="461"/>
      <c r="V2252" s="461"/>
    </row>
    <row r="2253" spans="5:22" s="455" customFormat="1" hidden="1">
      <c r="E2253" s="452"/>
      <c r="F2253" s="452"/>
      <c r="G2253" s="452" t="s">
        <v>844</v>
      </c>
      <c r="H2253" s="452"/>
      <c r="I2253" s="453" t="s">
        <v>844</v>
      </c>
      <c r="J2253" s="453"/>
      <c r="K2253" s="461"/>
      <c r="L2253" s="461"/>
      <c r="M2253" s="461"/>
      <c r="N2253" s="461"/>
      <c r="O2253" s="461"/>
      <c r="P2253" s="461"/>
      <c r="Q2253" s="461"/>
      <c r="R2253" s="461"/>
      <c r="S2253" s="461"/>
      <c r="T2253" s="461"/>
      <c r="U2253" s="461"/>
      <c r="V2253" s="461"/>
    </row>
    <row r="2254" spans="5:22" s="455" customFormat="1" hidden="1">
      <c r="E2254" s="452"/>
      <c r="F2254" s="452"/>
      <c r="G2254" s="452" t="s">
        <v>844</v>
      </c>
      <c r="H2254" s="452"/>
      <c r="I2254" s="453" t="s">
        <v>844</v>
      </c>
      <c r="J2254" s="453"/>
      <c r="K2254" s="461"/>
      <c r="L2254" s="461"/>
      <c r="M2254" s="461"/>
      <c r="N2254" s="461"/>
      <c r="O2254" s="461"/>
      <c r="P2254" s="461"/>
      <c r="Q2254" s="461"/>
      <c r="R2254" s="461"/>
      <c r="S2254" s="461"/>
      <c r="T2254" s="461"/>
      <c r="U2254" s="461"/>
      <c r="V2254" s="461"/>
    </row>
    <row r="2255" spans="5:22" s="455" customFormat="1" hidden="1">
      <c r="E2255" s="452"/>
      <c r="F2255" s="452"/>
      <c r="G2255" s="452" t="s">
        <v>844</v>
      </c>
      <c r="H2255" s="452"/>
      <c r="I2255" s="453" t="s">
        <v>844</v>
      </c>
      <c r="J2255" s="453"/>
      <c r="K2255" s="461"/>
      <c r="L2255" s="461"/>
      <c r="M2255" s="461"/>
      <c r="N2255" s="461"/>
      <c r="O2255" s="461"/>
      <c r="P2255" s="461"/>
      <c r="Q2255" s="461"/>
      <c r="R2255" s="461"/>
      <c r="S2255" s="461"/>
      <c r="T2255" s="461"/>
      <c r="U2255" s="461"/>
      <c r="V2255" s="461"/>
    </row>
    <row r="2256" spans="5:22" s="455" customFormat="1" hidden="1">
      <c r="E2256" s="452"/>
      <c r="F2256" s="452"/>
      <c r="G2256" s="452" t="s">
        <v>844</v>
      </c>
      <c r="H2256" s="452"/>
      <c r="I2256" s="453" t="s">
        <v>844</v>
      </c>
      <c r="J2256" s="453"/>
      <c r="K2256" s="453"/>
      <c r="L2256" s="453"/>
      <c r="M2256" s="453"/>
      <c r="N2256" s="453"/>
      <c r="O2256" s="453"/>
      <c r="P2256" s="453"/>
      <c r="Q2256" s="453"/>
      <c r="R2256" s="453"/>
      <c r="S2256" s="453"/>
      <c r="T2256" s="453"/>
      <c r="U2256" s="453"/>
      <c r="V2256" s="453"/>
    </row>
    <row r="2257" spans="5:22" s="455" customFormat="1" hidden="1">
      <c r="E2257" s="452"/>
      <c r="F2257" s="452"/>
      <c r="G2257" s="452" t="s">
        <v>844</v>
      </c>
      <c r="H2257" s="452"/>
      <c r="I2257" s="453" t="s">
        <v>844</v>
      </c>
      <c r="J2257" s="453"/>
      <c r="K2257" s="453"/>
      <c r="L2257" s="453"/>
      <c r="M2257" s="453"/>
      <c r="N2257" s="453"/>
      <c r="O2257" s="453"/>
      <c r="P2257" s="453"/>
      <c r="Q2257" s="453"/>
      <c r="R2257" s="453"/>
      <c r="S2257" s="453"/>
      <c r="T2257" s="453"/>
      <c r="U2257" s="453"/>
      <c r="V2257" s="453"/>
    </row>
    <row r="2258" spans="5:22" s="455" customFormat="1" hidden="1">
      <c r="E2258" s="452"/>
      <c r="F2258" s="452"/>
      <c r="G2258" s="452" t="s">
        <v>844</v>
      </c>
      <c r="H2258" s="452"/>
      <c r="I2258" s="453" t="s">
        <v>844</v>
      </c>
      <c r="J2258" s="453"/>
      <c r="K2258" s="453"/>
      <c r="L2258" s="453"/>
      <c r="M2258" s="453"/>
      <c r="N2258" s="453"/>
      <c r="O2258" s="453"/>
      <c r="P2258" s="453"/>
      <c r="Q2258" s="453"/>
      <c r="R2258" s="453"/>
      <c r="S2258" s="453"/>
      <c r="T2258" s="453"/>
      <c r="U2258" s="453"/>
      <c r="V2258" s="453"/>
    </row>
    <row r="2259" spans="5:22" s="455" customFormat="1" hidden="1">
      <c r="E2259" s="452"/>
      <c r="F2259" s="452"/>
      <c r="G2259" s="452" t="s">
        <v>844</v>
      </c>
      <c r="H2259" s="452"/>
      <c r="I2259" s="453" t="s">
        <v>844</v>
      </c>
      <c r="J2259" s="453"/>
      <c r="K2259" s="453"/>
      <c r="L2259" s="453"/>
      <c r="M2259" s="453"/>
      <c r="N2259" s="453"/>
      <c r="O2259" s="453"/>
      <c r="P2259" s="453"/>
      <c r="Q2259" s="453"/>
      <c r="R2259" s="453"/>
      <c r="S2259" s="453"/>
      <c r="T2259" s="453"/>
      <c r="U2259" s="453"/>
      <c r="V2259" s="453"/>
    </row>
    <row r="2260" spans="5:22" s="455" customFormat="1" hidden="1">
      <c r="E2260" s="452"/>
      <c r="F2260" s="452"/>
      <c r="G2260" s="452" t="s">
        <v>844</v>
      </c>
      <c r="H2260" s="452"/>
      <c r="I2260" s="453" t="s">
        <v>844</v>
      </c>
      <c r="J2260" s="453"/>
      <c r="K2260" s="453"/>
      <c r="L2260" s="453"/>
      <c r="M2260" s="453"/>
      <c r="N2260" s="453"/>
      <c r="O2260" s="453"/>
      <c r="P2260" s="453"/>
      <c r="Q2260" s="453"/>
      <c r="R2260" s="453"/>
      <c r="S2260" s="453"/>
      <c r="T2260" s="453"/>
      <c r="U2260" s="453"/>
      <c r="V2260" s="453"/>
    </row>
    <row r="2261" spans="5:22" s="455" customFormat="1" hidden="1">
      <c r="E2261" s="452"/>
      <c r="F2261" s="452"/>
      <c r="G2261" s="452" t="s">
        <v>844</v>
      </c>
      <c r="H2261" s="452"/>
      <c r="I2261" s="453" t="s">
        <v>844</v>
      </c>
      <c r="J2261" s="453"/>
      <c r="K2261" s="453"/>
      <c r="L2261" s="453"/>
      <c r="M2261" s="453"/>
      <c r="N2261" s="453"/>
      <c r="O2261" s="453"/>
      <c r="P2261" s="453"/>
      <c r="Q2261" s="453"/>
      <c r="R2261" s="453"/>
      <c r="S2261" s="453"/>
      <c r="T2261" s="453"/>
      <c r="U2261" s="453"/>
      <c r="V2261" s="453"/>
    </row>
    <row r="2262" spans="5:22" s="455" customFormat="1" hidden="1">
      <c r="E2262" s="452"/>
      <c r="F2262" s="452"/>
      <c r="G2262" s="452" t="s">
        <v>844</v>
      </c>
      <c r="H2262" s="452"/>
      <c r="I2262" s="453" t="s">
        <v>844</v>
      </c>
      <c r="J2262" s="453"/>
      <c r="K2262" s="453"/>
      <c r="L2262" s="453"/>
      <c r="M2262" s="453"/>
      <c r="N2262" s="453"/>
      <c r="O2262" s="453"/>
      <c r="P2262" s="453"/>
      <c r="Q2262" s="453"/>
      <c r="R2262" s="453"/>
      <c r="S2262" s="453"/>
      <c r="T2262" s="453"/>
      <c r="U2262" s="453"/>
      <c r="V2262" s="453"/>
    </row>
    <row r="2263" spans="5:22" s="455" customFormat="1" hidden="1">
      <c r="E2263" s="452"/>
      <c r="F2263" s="452"/>
      <c r="G2263" s="452" t="s">
        <v>844</v>
      </c>
      <c r="H2263" s="452"/>
      <c r="I2263" s="453" t="s">
        <v>844</v>
      </c>
      <c r="J2263" s="453"/>
      <c r="K2263" s="453"/>
      <c r="L2263" s="453"/>
      <c r="M2263" s="453"/>
      <c r="N2263" s="453"/>
      <c r="O2263" s="453"/>
      <c r="P2263" s="453"/>
      <c r="Q2263" s="453"/>
      <c r="R2263" s="453"/>
      <c r="S2263" s="453"/>
      <c r="T2263" s="453"/>
      <c r="U2263" s="453"/>
      <c r="V2263" s="453"/>
    </row>
    <row r="2264" spans="5:22" s="455" customFormat="1" hidden="1">
      <c r="E2264" s="452"/>
      <c r="F2264" s="452"/>
      <c r="G2264" s="452" t="s">
        <v>844</v>
      </c>
      <c r="H2264" s="452"/>
      <c r="I2264" s="453" t="s">
        <v>844</v>
      </c>
      <c r="J2264" s="453"/>
      <c r="K2264" s="453"/>
      <c r="L2264" s="453"/>
      <c r="M2264" s="453"/>
      <c r="N2264" s="453"/>
      <c r="O2264" s="453"/>
      <c r="P2264" s="453"/>
      <c r="Q2264" s="453"/>
      <c r="R2264" s="453"/>
      <c r="S2264" s="453"/>
      <c r="T2264" s="453"/>
      <c r="U2264" s="453"/>
      <c r="V2264" s="453"/>
    </row>
    <row r="2265" spans="5:22" s="455" customFormat="1" hidden="1">
      <c r="E2265" s="452"/>
      <c r="F2265" s="452"/>
      <c r="G2265" s="452" t="s">
        <v>844</v>
      </c>
      <c r="H2265" s="452"/>
      <c r="I2265" s="453" t="s">
        <v>844</v>
      </c>
      <c r="J2265" s="453"/>
      <c r="K2265" s="453"/>
      <c r="L2265" s="453"/>
      <c r="M2265" s="453"/>
      <c r="N2265" s="453"/>
      <c r="O2265" s="453"/>
      <c r="P2265" s="453"/>
      <c r="Q2265" s="453"/>
      <c r="R2265" s="453"/>
      <c r="S2265" s="453"/>
      <c r="T2265" s="453"/>
      <c r="U2265" s="453"/>
      <c r="V2265" s="453"/>
    </row>
    <row r="2266" spans="5:22" s="455" customFormat="1" hidden="1">
      <c r="E2266" s="452"/>
      <c r="F2266" s="452"/>
      <c r="G2266" s="452" t="s">
        <v>844</v>
      </c>
      <c r="H2266" s="452"/>
      <c r="I2266" s="453" t="s">
        <v>844</v>
      </c>
      <c r="J2266" s="453"/>
      <c r="K2266" s="453"/>
      <c r="L2266" s="453"/>
      <c r="M2266" s="453"/>
      <c r="N2266" s="453"/>
      <c r="O2266" s="453"/>
      <c r="P2266" s="453"/>
      <c r="Q2266" s="453"/>
      <c r="R2266" s="453"/>
      <c r="S2266" s="453"/>
      <c r="T2266" s="453"/>
      <c r="U2266" s="453"/>
      <c r="V2266" s="453"/>
    </row>
    <row r="2267" spans="5:22" s="455" customFormat="1" hidden="1">
      <c r="E2267" s="452"/>
      <c r="F2267" s="452"/>
      <c r="G2267" s="452" t="s">
        <v>844</v>
      </c>
      <c r="H2267" s="452"/>
      <c r="I2267" s="453" t="s">
        <v>844</v>
      </c>
      <c r="J2267" s="453"/>
      <c r="K2267" s="453"/>
      <c r="L2267" s="453"/>
      <c r="M2267" s="453"/>
      <c r="N2267" s="453"/>
      <c r="O2267" s="453"/>
      <c r="P2267" s="453"/>
      <c r="Q2267" s="453"/>
      <c r="R2267" s="453"/>
      <c r="S2267" s="453"/>
      <c r="T2267" s="453"/>
      <c r="U2267" s="453"/>
      <c r="V2267" s="453"/>
    </row>
    <row r="2268" spans="5:22" s="455" customFormat="1" hidden="1">
      <c r="E2268" s="452"/>
      <c r="F2268" s="452"/>
      <c r="G2268" s="452" t="s">
        <v>844</v>
      </c>
      <c r="H2268" s="452"/>
      <c r="I2268" s="453" t="s">
        <v>844</v>
      </c>
      <c r="J2268" s="453"/>
      <c r="K2268" s="453"/>
      <c r="L2268" s="453"/>
      <c r="M2268" s="453"/>
      <c r="N2268" s="453"/>
      <c r="O2268" s="453"/>
      <c r="P2268" s="453"/>
      <c r="Q2268" s="453"/>
      <c r="R2268" s="453"/>
      <c r="S2268" s="453"/>
      <c r="T2268" s="453"/>
      <c r="U2268" s="453"/>
      <c r="V2268" s="453"/>
    </row>
    <row r="2269" spans="5:22" s="455" customFormat="1" hidden="1">
      <c r="E2269" s="452"/>
      <c r="F2269" s="452"/>
      <c r="G2269" s="452" t="s">
        <v>844</v>
      </c>
      <c r="H2269" s="452"/>
      <c r="I2269" s="453" t="s">
        <v>844</v>
      </c>
      <c r="J2269" s="453"/>
      <c r="K2269" s="453"/>
      <c r="L2269" s="453"/>
      <c r="M2269" s="453"/>
      <c r="N2269" s="453"/>
      <c r="O2269" s="453"/>
      <c r="P2269" s="453"/>
      <c r="Q2269" s="453"/>
      <c r="R2269" s="453"/>
      <c r="S2269" s="453"/>
      <c r="T2269" s="453"/>
      <c r="U2269" s="453"/>
      <c r="V2269" s="453"/>
    </row>
    <row r="2270" spans="5:22" s="455" customFormat="1" hidden="1">
      <c r="E2270" s="452"/>
      <c r="F2270" s="452"/>
      <c r="G2270" s="452" t="s">
        <v>844</v>
      </c>
      <c r="H2270" s="452"/>
      <c r="I2270" s="453" t="s">
        <v>844</v>
      </c>
      <c r="J2270" s="453"/>
      <c r="K2270" s="453"/>
      <c r="L2270" s="453"/>
      <c r="M2270" s="453"/>
      <c r="N2270" s="453"/>
      <c r="O2270" s="453"/>
      <c r="P2270" s="453"/>
      <c r="Q2270" s="453"/>
      <c r="R2270" s="453"/>
      <c r="S2270" s="453"/>
      <c r="T2270" s="453"/>
      <c r="U2270" s="453"/>
      <c r="V2270" s="453"/>
    </row>
    <row r="2271" spans="5:22" s="455" customFormat="1" hidden="1">
      <c r="E2271" s="452"/>
      <c r="F2271" s="452"/>
      <c r="G2271" s="452" t="s">
        <v>844</v>
      </c>
      <c r="H2271" s="452"/>
      <c r="I2271" s="453" t="s">
        <v>844</v>
      </c>
      <c r="J2271" s="453"/>
      <c r="K2271" s="453"/>
      <c r="L2271" s="453"/>
      <c r="M2271" s="453"/>
      <c r="N2271" s="453"/>
      <c r="O2271" s="453"/>
      <c r="P2271" s="453"/>
      <c r="Q2271" s="453"/>
      <c r="R2271" s="453"/>
      <c r="S2271" s="453"/>
      <c r="T2271" s="453"/>
      <c r="U2271" s="453"/>
      <c r="V2271" s="453"/>
    </row>
    <row r="2272" spans="5:22" s="455" customFormat="1" hidden="1">
      <c r="E2272" s="452"/>
      <c r="F2272" s="452"/>
      <c r="G2272" s="452" t="s">
        <v>844</v>
      </c>
      <c r="H2272" s="452"/>
      <c r="I2272" s="453" t="s">
        <v>844</v>
      </c>
      <c r="J2272" s="453"/>
      <c r="K2272" s="453"/>
      <c r="L2272" s="453"/>
      <c r="M2272" s="453"/>
      <c r="N2272" s="453"/>
      <c r="O2272" s="453"/>
      <c r="P2272" s="453"/>
      <c r="Q2272" s="453"/>
      <c r="R2272" s="453"/>
      <c r="S2272" s="453"/>
      <c r="T2272" s="453"/>
      <c r="U2272" s="453"/>
      <c r="V2272" s="453"/>
    </row>
    <row r="2273" spans="5:22" s="455" customFormat="1" hidden="1">
      <c r="E2273" s="452"/>
      <c r="F2273" s="452"/>
      <c r="G2273" s="452" t="s">
        <v>844</v>
      </c>
      <c r="H2273" s="452"/>
      <c r="I2273" s="453" t="s">
        <v>844</v>
      </c>
      <c r="J2273" s="453"/>
      <c r="K2273" s="453"/>
      <c r="L2273" s="453"/>
      <c r="M2273" s="453"/>
      <c r="N2273" s="453"/>
      <c r="O2273" s="453"/>
      <c r="P2273" s="453"/>
      <c r="Q2273" s="453"/>
      <c r="R2273" s="453"/>
      <c r="S2273" s="453"/>
      <c r="T2273" s="453"/>
      <c r="U2273" s="453"/>
      <c r="V2273" s="453"/>
    </row>
    <row r="2274" spans="5:22" s="455" customFormat="1" hidden="1">
      <c r="E2274" s="452"/>
      <c r="F2274" s="452"/>
      <c r="G2274" s="452" t="s">
        <v>844</v>
      </c>
      <c r="H2274" s="452"/>
      <c r="I2274" s="453" t="s">
        <v>844</v>
      </c>
      <c r="J2274" s="453"/>
      <c r="K2274" s="453"/>
      <c r="L2274" s="453"/>
      <c r="M2274" s="453"/>
      <c r="N2274" s="453"/>
      <c r="O2274" s="453"/>
      <c r="P2274" s="453"/>
      <c r="Q2274" s="453"/>
      <c r="R2274" s="453"/>
      <c r="S2274" s="453"/>
      <c r="T2274" s="453"/>
      <c r="U2274" s="453"/>
      <c r="V2274" s="453"/>
    </row>
    <row r="2275" spans="5:22" s="455" customFormat="1" hidden="1">
      <c r="E2275" s="452"/>
      <c r="F2275" s="452"/>
      <c r="G2275" s="452" t="s">
        <v>844</v>
      </c>
      <c r="H2275" s="452"/>
      <c r="I2275" s="453" t="s">
        <v>844</v>
      </c>
      <c r="J2275" s="453"/>
      <c r="K2275" s="453"/>
      <c r="L2275" s="453"/>
      <c r="M2275" s="453"/>
      <c r="N2275" s="453"/>
      <c r="O2275" s="453"/>
      <c r="P2275" s="453"/>
      <c r="Q2275" s="453"/>
      <c r="R2275" s="453"/>
      <c r="S2275" s="453"/>
      <c r="T2275" s="453"/>
      <c r="U2275" s="453"/>
      <c r="V2275" s="453"/>
    </row>
    <row r="2276" spans="5:22" s="455" customFormat="1" hidden="1">
      <c r="E2276" s="452"/>
      <c r="F2276" s="452"/>
      <c r="G2276" s="452" t="s">
        <v>844</v>
      </c>
      <c r="H2276" s="452"/>
      <c r="I2276" s="453" t="s">
        <v>844</v>
      </c>
      <c r="J2276" s="453"/>
      <c r="K2276" s="453"/>
      <c r="L2276" s="453"/>
      <c r="M2276" s="453"/>
      <c r="N2276" s="453"/>
      <c r="O2276" s="453"/>
      <c r="P2276" s="453"/>
      <c r="Q2276" s="453"/>
      <c r="R2276" s="453"/>
      <c r="S2276" s="453"/>
      <c r="T2276" s="453"/>
      <c r="U2276" s="453"/>
      <c r="V2276" s="453"/>
    </row>
    <row r="2277" spans="5:22" s="455" customFormat="1" hidden="1">
      <c r="E2277" s="452"/>
      <c r="F2277" s="452"/>
      <c r="G2277" s="452" t="s">
        <v>844</v>
      </c>
      <c r="H2277" s="452"/>
      <c r="I2277" s="453" t="s">
        <v>844</v>
      </c>
      <c r="J2277" s="453"/>
      <c r="K2277" s="453"/>
      <c r="L2277" s="453"/>
      <c r="M2277" s="453"/>
      <c r="N2277" s="453"/>
      <c r="O2277" s="453"/>
      <c r="P2277" s="453"/>
      <c r="Q2277" s="453"/>
      <c r="R2277" s="453"/>
      <c r="S2277" s="453"/>
      <c r="T2277" s="453"/>
      <c r="U2277" s="453"/>
      <c r="V2277" s="453"/>
    </row>
    <row r="2278" spans="5:22" s="455" customFormat="1" hidden="1">
      <c r="E2278" s="452"/>
      <c r="F2278" s="452"/>
      <c r="G2278" s="452" t="s">
        <v>844</v>
      </c>
      <c r="H2278" s="452"/>
      <c r="I2278" s="453" t="s">
        <v>844</v>
      </c>
      <c r="J2278" s="453"/>
      <c r="K2278" s="453"/>
      <c r="L2278" s="453"/>
      <c r="M2278" s="453"/>
      <c r="N2278" s="453"/>
      <c r="O2278" s="453"/>
      <c r="P2278" s="453"/>
      <c r="Q2278" s="453"/>
      <c r="R2278" s="453"/>
      <c r="S2278" s="453"/>
      <c r="T2278" s="453"/>
      <c r="U2278" s="453"/>
      <c r="V2278" s="453"/>
    </row>
    <row r="2279" spans="5:22" s="455" customFormat="1" hidden="1">
      <c r="E2279" s="452"/>
      <c r="F2279" s="452"/>
      <c r="G2279" s="452" t="s">
        <v>844</v>
      </c>
      <c r="H2279" s="452"/>
      <c r="I2279" s="453" t="s">
        <v>844</v>
      </c>
      <c r="J2279" s="453"/>
      <c r="K2279" s="453"/>
      <c r="L2279" s="453"/>
      <c r="M2279" s="453"/>
      <c r="N2279" s="453"/>
      <c r="O2279" s="453"/>
      <c r="P2279" s="453"/>
      <c r="Q2279" s="453"/>
      <c r="R2279" s="453"/>
      <c r="S2279" s="453"/>
      <c r="T2279" s="453"/>
      <c r="U2279" s="453"/>
      <c r="V2279" s="453"/>
    </row>
    <row r="2280" spans="5:22" s="455" customFormat="1" hidden="1">
      <c r="E2280" s="452"/>
      <c r="F2280" s="452"/>
      <c r="G2280" s="452" t="s">
        <v>844</v>
      </c>
      <c r="H2280" s="452"/>
      <c r="I2280" s="453" t="s">
        <v>844</v>
      </c>
      <c r="J2280" s="453"/>
      <c r="K2280" s="453"/>
      <c r="L2280" s="453"/>
      <c r="M2280" s="453"/>
      <c r="N2280" s="453"/>
      <c r="O2280" s="453"/>
      <c r="P2280" s="453"/>
      <c r="Q2280" s="453"/>
      <c r="R2280" s="453"/>
      <c r="S2280" s="453"/>
      <c r="T2280" s="453"/>
      <c r="U2280" s="453"/>
      <c r="V2280" s="453"/>
    </row>
    <row r="2281" spans="5:22" s="455" customFormat="1" hidden="1">
      <c r="E2281" s="452"/>
      <c r="F2281" s="452"/>
      <c r="G2281" s="452" t="s">
        <v>844</v>
      </c>
      <c r="H2281" s="452"/>
      <c r="I2281" s="453" t="s">
        <v>844</v>
      </c>
      <c r="J2281" s="453"/>
      <c r="K2281" s="453"/>
      <c r="L2281" s="453"/>
      <c r="M2281" s="453"/>
      <c r="N2281" s="453"/>
      <c r="O2281" s="453"/>
      <c r="P2281" s="453"/>
      <c r="Q2281" s="453"/>
      <c r="R2281" s="453"/>
      <c r="S2281" s="453"/>
      <c r="T2281" s="453"/>
      <c r="U2281" s="453"/>
      <c r="V2281" s="453"/>
    </row>
    <row r="2282" spans="5:22" s="455" customFormat="1" hidden="1">
      <c r="E2282" s="452"/>
      <c r="F2282" s="452"/>
      <c r="G2282" s="452" t="s">
        <v>844</v>
      </c>
      <c r="H2282" s="452"/>
      <c r="I2282" s="453" t="s">
        <v>844</v>
      </c>
      <c r="J2282" s="453"/>
      <c r="K2282" s="453"/>
      <c r="L2282" s="453"/>
      <c r="M2282" s="453"/>
      <c r="N2282" s="453"/>
      <c r="O2282" s="453"/>
      <c r="P2282" s="453"/>
      <c r="Q2282" s="453"/>
      <c r="R2282" s="453"/>
      <c r="S2282" s="453"/>
      <c r="T2282" s="453"/>
      <c r="U2282" s="453"/>
      <c r="V2282" s="453"/>
    </row>
    <row r="2283" spans="5:22" s="455" customFormat="1" hidden="1">
      <c r="E2283" s="452"/>
      <c r="F2283" s="452"/>
      <c r="G2283" s="452" t="s">
        <v>844</v>
      </c>
      <c r="H2283" s="452"/>
      <c r="I2283" s="453" t="s">
        <v>844</v>
      </c>
      <c r="J2283" s="453"/>
      <c r="K2283" s="453"/>
      <c r="L2283" s="453"/>
      <c r="M2283" s="453"/>
      <c r="N2283" s="453"/>
      <c r="O2283" s="453"/>
      <c r="P2283" s="453"/>
      <c r="Q2283" s="453"/>
      <c r="R2283" s="453"/>
      <c r="S2283" s="453"/>
      <c r="T2283" s="453"/>
      <c r="U2283" s="453"/>
      <c r="V2283" s="453"/>
    </row>
    <row r="2284" spans="5:22" s="455" customFormat="1" hidden="1">
      <c r="E2284" s="452"/>
      <c r="F2284" s="452"/>
      <c r="G2284" s="452" t="s">
        <v>844</v>
      </c>
      <c r="H2284" s="452"/>
      <c r="I2284" s="453" t="s">
        <v>844</v>
      </c>
      <c r="J2284" s="453"/>
      <c r="K2284" s="453"/>
      <c r="L2284" s="453"/>
      <c r="M2284" s="453"/>
      <c r="N2284" s="453"/>
      <c r="O2284" s="453"/>
      <c r="P2284" s="453"/>
      <c r="Q2284" s="453"/>
      <c r="R2284" s="453"/>
      <c r="S2284" s="453"/>
      <c r="T2284" s="453"/>
      <c r="U2284" s="453"/>
      <c r="V2284" s="453"/>
    </row>
    <row r="2285" spans="5:22" s="455" customFormat="1" hidden="1">
      <c r="E2285" s="452"/>
      <c r="F2285" s="452"/>
      <c r="G2285" s="452" t="s">
        <v>844</v>
      </c>
      <c r="H2285" s="452"/>
      <c r="I2285" s="453" t="s">
        <v>844</v>
      </c>
      <c r="J2285" s="453"/>
      <c r="K2285" s="453"/>
      <c r="L2285" s="453"/>
      <c r="M2285" s="453"/>
      <c r="N2285" s="453"/>
      <c r="O2285" s="453"/>
      <c r="P2285" s="453"/>
      <c r="Q2285" s="453"/>
      <c r="R2285" s="453"/>
      <c r="S2285" s="453"/>
      <c r="T2285" s="453"/>
      <c r="U2285" s="453"/>
      <c r="V2285" s="453"/>
    </row>
    <row r="2286" spans="5:22" s="455" customFormat="1" hidden="1">
      <c r="E2286" s="452"/>
      <c r="F2286" s="452"/>
      <c r="G2286" s="452" t="s">
        <v>844</v>
      </c>
      <c r="H2286" s="452"/>
      <c r="I2286" s="453" t="s">
        <v>844</v>
      </c>
      <c r="J2286" s="453"/>
      <c r="K2286" s="453"/>
      <c r="L2286" s="453"/>
      <c r="M2286" s="453"/>
      <c r="N2286" s="453"/>
      <c r="O2286" s="453"/>
      <c r="P2286" s="453"/>
      <c r="Q2286" s="453"/>
      <c r="R2286" s="453"/>
      <c r="S2286" s="453"/>
      <c r="T2286" s="453"/>
      <c r="U2286" s="453"/>
      <c r="V2286" s="453"/>
    </row>
    <row r="2287" spans="5:22" s="455" customFormat="1" hidden="1">
      <c r="E2287" s="452"/>
      <c r="F2287" s="452"/>
      <c r="G2287" s="452" t="s">
        <v>844</v>
      </c>
      <c r="H2287" s="452"/>
      <c r="I2287" s="453" t="s">
        <v>844</v>
      </c>
      <c r="J2287" s="453"/>
      <c r="K2287" s="453"/>
      <c r="L2287" s="453"/>
      <c r="M2287" s="453"/>
      <c r="N2287" s="453"/>
      <c r="O2287" s="453"/>
      <c r="P2287" s="453"/>
      <c r="Q2287" s="453"/>
      <c r="R2287" s="453"/>
      <c r="S2287" s="453"/>
      <c r="T2287" s="453"/>
      <c r="U2287" s="453"/>
      <c r="V2287" s="453"/>
    </row>
    <row r="2288" spans="5:22" s="455" customFormat="1" hidden="1">
      <c r="E2288" s="452"/>
      <c r="F2288" s="452"/>
      <c r="G2288" s="452" t="s">
        <v>844</v>
      </c>
      <c r="H2288" s="452"/>
      <c r="I2288" s="453" t="s">
        <v>844</v>
      </c>
      <c r="J2288" s="453"/>
      <c r="K2288" s="453"/>
      <c r="L2288" s="453"/>
      <c r="M2288" s="453"/>
      <c r="N2288" s="453"/>
      <c r="O2288" s="453"/>
      <c r="P2288" s="453"/>
      <c r="Q2288" s="453"/>
      <c r="R2288" s="453"/>
      <c r="S2288" s="453"/>
      <c r="T2288" s="453"/>
      <c r="U2288" s="453"/>
      <c r="V2288" s="453"/>
    </row>
    <row r="2289" spans="5:22" s="455" customFormat="1" hidden="1">
      <c r="E2289" s="452"/>
      <c r="F2289" s="452"/>
      <c r="G2289" s="452" t="s">
        <v>844</v>
      </c>
      <c r="H2289" s="452"/>
      <c r="I2289" s="453" t="s">
        <v>844</v>
      </c>
      <c r="J2289" s="453"/>
      <c r="K2289" s="453"/>
      <c r="L2289" s="453"/>
      <c r="M2289" s="453"/>
      <c r="N2289" s="453"/>
      <c r="O2289" s="453"/>
      <c r="P2289" s="453"/>
      <c r="Q2289" s="453"/>
      <c r="R2289" s="453"/>
      <c r="S2289" s="453"/>
      <c r="T2289" s="453"/>
      <c r="U2289" s="453"/>
      <c r="V2289" s="453"/>
    </row>
    <row r="2290" spans="5:22" s="455" customFormat="1" hidden="1">
      <c r="E2290" s="452"/>
      <c r="F2290" s="452"/>
      <c r="G2290" s="452" t="s">
        <v>844</v>
      </c>
      <c r="H2290" s="452"/>
      <c r="I2290" s="453" t="s">
        <v>844</v>
      </c>
      <c r="J2290" s="453"/>
      <c r="K2290" s="453"/>
      <c r="L2290" s="453"/>
      <c r="M2290" s="453"/>
      <c r="N2290" s="453"/>
      <c r="O2290" s="453"/>
      <c r="P2290" s="453"/>
      <c r="Q2290" s="453"/>
      <c r="R2290" s="453"/>
      <c r="S2290" s="453"/>
      <c r="T2290" s="453"/>
      <c r="U2290" s="453"/>
      <c r="V2290" s="453"/>
    </row>
    <row r="2291" spans="5:22" s="455" customFormat="1" hidden="1">
      <c r="E2291" s="452"/>
      <c r="F2291" s="452"/>
      <c r="G2291" s="452" t="s">
        <v>844</v>
      </c>
      <c r="H2291" s="452"/>
      <c r="I2291" s="453" t="s">
        <v>844</v>
      </c>
      <c r="J2291" s="453"/>
      <c r="K2291" s="453"/>
      <c r="L2291" s="453"/>
      <c r="M2291" s="453"/>
      <c r="N2291" s="453"/>
      <c r="O2291" s="453"/>
      <c r="P2291" s="453"/>
      <c r="Q2291" s="453"/>
      <c r="R2291" s="453"/>
      <c r="S2291" s="453"/>
      <c r="T2291" s="453"/>
      <c r="U2291" s="453"/>
      <c r="V2291" s="453"/>
    </row>
    <row r="2292" spans="5:22" s="455" customFormat="1" hidden="1">
      <c r="E2292" s="452"/>
      <c r="F2292" s="452"/>
      <c r="G2292" s="452" t="s">
        <v>844</v>
      </c>
      <c r="H2292" s="452"/>
      <c r="I2292" s="453" t="s">
        <v>844</v>
      </c>
      <c r="J2292" s="453"/>
      <c r="K2292" s="453"/>
      <c r="L2292" s="453"/>
      <c r="M2292" s="453"/>
      <c r="N2292" s="453"/>
      <c r="O2292" s="453"/>
      <c r="P2292" s="453"/>
      <c r="Q2292" s="453"/>
      <c r="R2292" s="453"/>
      <c r="S2292" s="453"/>
      <c r="T2292" s="453"/>
      <c r="U2292" s="453"/>
      <c r="V2292" s="453"/>
    </row>
    <row r="2293" spans="5:22" s="455" customFormat="1" hidden="1">
      <c r="E2293" s="452"/>
      <c r="F2293" s="452"/>
      <c r="G2293" s="452" t="s">
        <v>844</v>
      </c>
      <c r="H2293" s="452"/>
      <c r="I2293" s="453" t="s">
        <v>844</v>
      </c>
      <c r="J2293" s="453"/>
      <c r="K2293" s="453"/>
      <c r="L2293" s="453"/>
      <c r="M2293" s="453"/>
      <c r="N2293" s="453"/>
      <c r="O2293" s="453"/>
      <c r="P2293" s="453"/>
      <c r="Q2293" s="453"/>
      <c r="R2293" s="453"/>
      <c r="S2293" s="453"/>
      <c r="T2293" s="453"/>
      <c r="U2293" s="453"/>
      <c r="V2293" s="453"/>
    </row>
    <row r="2294" spans="5:22" s="455" customFormat="1" hidden="1">
      <c r="E2294" s="452"/>
      <c r="F2294" s="452"/>
      <c r="G2294" s="452" t="s">
        <v>844</v>
      </c>
      <c r="H2294" s="452"/>
      <c r="I2294" s="453" t="s">
        <v>844</v>
      </c>
      <c r="J2294" s="453"/>
      <c r="K2294" s="453"/>
      <c r="L2294" s="453"/>
      <c r="M2294" s="453"/>
      <c r="N2294" s="453"/>
      <c r="O2294" s="453"/>
      <c r="P2294" s="453"/>
      <c r="Q2294" s="453"/>
      <c r="R2294" s="453"/>
      <c r="S2294" s="453"/>
      <c r="T2294" s="453"/>
      <c r="U2294" s="453"/>
      <c r="V2294" s="453"/>
    </row>
    <row r="2295" spans="5:22" s="455" customFormat="1" hidden="1">
      <c r="E2295" s="452"/>
      <c r="F2295" s="452"/>
      <c r="G2295" s="452" t="s">
        <v>844</v>
      </c>
      <c r="H2295" s="452"/>
      <c r="I2295" s="453" t="s">
        <v>844</v>
      </c>
      <c r="J2295" s="453"/>
      <c r="K2295" s="453"/>
      <c r="L2295" s="453"/>
      <c r="M2295" s="453"/>
      <c r="N2295" s="453"/>
      <c r="O2295" s="453"/>
      <c r="P2295" s="453"/>
      <c r="Q2295" s="453"/>
      <c r="R2295" s="453"/>
      <c r="S2295" s="453"/>
      <c r="T2295" s="453"/>
      <c r="U2295" s="453"/>
      <c r="V2295" s="453"/>
    </row>
    <row r="2296" spans="5:22" s="455" customFormat="1" hidden="1">
      <c r="E2296" s="452"/>
      <c r="F2296" s="452"/>
      <c r="G2296" s="452" t="s">
        <v>844</v>
      </c>
      <c r="H2296" s="452"/>
      <c r="I2296" s="453" t="s">
        <v>844</v>
      </c>
      <c r="J2296" s="453"/>
      <c r="K2296" s="453"/>
      <c r="L2296" s="453"/>
      <c r="M2296" s="453"/>
      <c r="N2296" s="453"/>
      <c r="O2296" s="453"/>
      <c r="P2296" s="453"/>
      <c r="Q2296" s="453"/>
      <c r="R2296" s="453"/>
      <c r="S2296" s="453"/>
      <c r="T2296" s="453"/>
      <c r="U2296" s="453"/>
      <c r="V2296" s="453"/>
    </row>
    <row r="2297" spans="5:22" s="455" customFormat="1" hidden="1">
      <c r="E2297" s="452"/>
      <c r="F2297" s="452"/>
      <c r="G2297" s="452" t="s">
        <v>844</v>
      </c>
      <c r="H2297" s="452"/>
      <c r="I2297" s="453" t="s">
        <v>844</v>
      </c>
      <c r="J2297" s="453"/>
      <c r="K2297" s="453"/>
      <c r="L2297" s="453"/>
      <c r="M2297" s="453"/>
      <c r="N2297" s="453"/>
      <c r="O2297" s="453"/>
      <c r="P2297" s="453"/>
      <c r="Q2297" s="453"/>
      <c r="R2297" s="453"/>
      <c r="S2297" s="453"/>
      <c r="T2297" s="453"/>
      <c r="U2297" s="453"/>
      <c r="V2297" s="453"/>
    </row>
    <row r="2298" spans="5:22" s="455" customFormat="1" hidden="1">
      <c r="E2298" s="452"/>
      <c r="F2298" s="452"/>
      <c r="G2298" s="452" t="s">
        <v>844</v>
      </c>
      <c r="H2298" s="452"/>
      <c r="I2298" s="453" t="s">
        <v>844</v>
      </c>
      <c r="J2298" s="453"/>
      <c r="K2298" s="453"/>
      <c r="L2298" s="453"/>
      <c r="M2298" s="453"/>
      <c r="N2298" s="453"/>
      <c r="O2298" s="453"/>
      <c r="P2298" s="453"/>
      <c r="Q2298" s="453"/>
      <c r="R2298" s="453"/>
      <c r="S2298" s="453"/>
      <c r="T2298" s="453"/>
      <c r="U2298" s="453"/>
      <c r="V2298" s="453"/>
    </row>
    <row r="2299" spans="5:22" s="455" customFormat="1" hidden="1">
      <c r="E2299" s="452"/>
      <c r="F2299" s="452"/>
      <c r="G2299" s="452" t="s">
        <v>844</v>
      </c>
      <c r="H2299" s="452"/>
      <c r="I2299" s="453" t="s">
        <v>844</v>
      </c>
      <c r="J2299" s="453"/>
      <c r="K2299" s="453"/>
      <c r="L2299" s="453"/>
      <c r="M2299" s="453"/>
      <c r="N2299" s="453"/>
      <c r="O2299" s="453"/>
      <c r="P2299" s="453"/>
      <c r="Q2299" s="453"/>
      <c r="R2299" s="453"/>
      <c r="S2299" s="453"/>
      <c r="T2299" s="453"/>
      <c r="U2299" s="453"/>
      <c r="V2299" s="453"/>
    </row>
    <row r="2300" spans="5:22" s="455" customFormat="1" hidden="1">
      <c r="E2300" s="452"/>
      <c r="F2300" s="452"/>
      <c r="G2300" s="452" t="s">
        <v>844</v>
      </c>
      <c r="H2300" s="452"/>
      <c r="I2300" s="453" t="s">
        <v>844</v>
      </c>
      <c r="J2300" s="453"/>
      <c r="K2300" s="453"/>
      <c r="L2300" s="453"/>
      <c r="M2300" s="453"/>
      <c r="N2300" s="453"/>
      <c r="O2300" s="453"/>
      <c r="P2300" s="453"/>
      <c r="Q2300" s="453"/>
      <c r="R2300" s="453"/>
      <c r="S2300" s="453"/>
      <c r="T2300" s="453"/>
      <c r="U2300" s="453"/>
      <c r="V2300" s="453"/>
    </row>
    <row r="2301" spans="5:22" s="455" customFormat="1" hidden="1">
      <c r="E2301" s="452"/>
      <c r="F2301" s="452"/>
      <c r="G2301" s="452" t="s">
        <v>844</v>
      </c>
      <c r="H2301" s="452"/>
      <c r="I2301" s="453" t="s">
        <v>844</v>
      </c>
      <c r="J2301" s="453"/>
      <c r="K2301" s="453"/>
      <c r="L2301" s="453"/>
      <c r="M2301" s="453"/>
      <c r="N2301" s="453"/>
      <c r="O2301" s="453"/>
      <c r="P2301" s="453"/>
      <c r="Q2301" s="453"/>
      <c r="R2301" s="453"/>
      <c r="S2301" s="453"/>
      <c r="T2301" s="453"/>
      <c r="U2301" s="453"/>
      <c r="V2301" s="453"/>
    </row>
    <row r="2302" spans="5:22" s="455" customFormat="1" hidden="1">
      <c r="E2302" s="452"/>
      <c r="F2302" s="452"/>
      <c r="G2302" s="452" t="s">
        <v>844</v>
      </c>
      <c r="H2302" s="452"/>
      <c r="I2302" s="453" t="s">
        <v>844</v>
      </c>
      <c r="J2302" s="453"/>
      <c r="K2302" s="453"/>
      <c r="L2302" s="453"/>
      <c r="M2302" s="453"/>
      <c r="N2302" s="453"/>
      <c r="O2302" s="453"/>
      <c r="P2302" s="453"/>
      <c r="Q2302" s="453"/>
      <c r="R2302" s="453"/>
      <c r="S2302" s="453"/>
      <c r="T2302" s="453"/>
      <c r="U2302" s="453"/>
      <c r="V2302" s="453"/>
    </row>
    <row r="2303" spans="5:22" s="455" customFormat="1" hidden="1">
      <c r="E2303" s="452"/>
      <c r="F2303" s="452"/>
      <c r="G2303" s="452" t="s">
        <v>844</v>
      </c>
      <c r="H2303" s="452"/>
      <c r="I2303" s="453" t="s">
        <v>844</v>
      </c>
      <c r="J2303" s="453"/>
      <c r="K2303" s="453"/>
      <c r="L2303" s="453"/>
      <c r="M2303" s="453"/>
      <c r="N2303" s="453"/>
      <c r="O2303" s="453"/>
      <c r="P2303" s="453"/>
      <c r="Q2303" s="453"/>
      <c r="R2303" s="453"/>
      <c r="S2303" s="453"/>
      <c r="T2303" s="453"/>
      <c r="U2303" s="453"/>
      <c r="V2303" s="453"/>
    </row>
    <row r="2304" spans="5:22" s="455" customFormat="1" hidden="1">
      <c r="E2304" s="452"/>
      <c r="F2304" s="452"/>
      <c r="G2304" s="452" t="s">
        <v>844</v>
      </c>
      <c r="H2304" s="452"/>
      <c r="I2304" s="453" t="s">
        <v>844</v>
      </c>
      <c r="J2304" s="453"/>
      <c r="K2304" s="453"/>
      <c r="L2304" s="453"/>
      <c r="M2304" s="453"/>
      <c r="N2304" s="453"/>
      <c r="O2304" s="453"/>
      <c r="P2304" s="453"/>
      <c r="Q2304" s="453"/>
      <c r="R2304" s="453"/>
      <c r="S2304" s="453"/>
      <c r="T2304" s="453"/>
      <c r="U2304" s="453"/>
      <c r="V2304" s="453"/>
    </row>
    <row r="2305" spans="5:22" s="455" customFormat="1" hidden="1">
      <c r="E2305" s="452"/>
      <c r="F2305" s="452"/>
      <c r="G2305" s="452" t="s">
        <v>844</v>
      </c>
      <c r="H2305" s="452"/>
      <c r="I2305" s="453" t="s">
        <v>844</v>
      </c>
      <c r="J2305" s="453"/>
      <c r="K2305" s="453"/>
      <c r="L2305" s="453"/>
      <c r="M2305" s="453"/>
      <c r="N2305" s="453"/>
      <c r="O2305" s="453"/>
      <c r="P2305" s="453"/>
      <c r="Q2305" s="453"/>
      <c r="R2305" s="453"/>
      <c r="S2305" s="453"/>
      <c r="T2305" s="453"/>
      <c r="U2305" s="453"/>
      <c r="V2305" s="453"/>
    </row>
    <row r="2306" spans="5:22" s="455" customFormat="1" hidden="1">
      <c r="E2306" s="452"/>
      <c r="F2306" s="452"/>
      <c r="G2306" s="452" t="s">
        <v>844</v>
      </c>
      <c r="H2306" s="452"/>
      <c r="I2306" s="453" t="s">
        <v>844</v>
      </c>
      <c r="J2306" s="453"/>
      <c r="K2306" s="453"/>
      <c r="L2306" s="453"/>
      <c r="M2306" s="453"/>
      <c r="N2306" s="453"/>
      <c r="O2306" s="453"/>
      <c r="P2306" s="453"/>
      <c r="Q2306" s="453"/>
      <c r="R2306" s="453"/>
      <c r="S2306" s="453"/>
      <c r="T2306" s="453"/>
      <c r="U2306" s="453"/>
      <c r="V2306" s="453"/>
    </row>
    <row r="2307" spans="5:22" s="455" customFormat="1" hidden="1">
      <c r="E2307" s="452"/>
      <c r="F2307" s="452"/>
      <c r="G2307" s="452" t="s">
        <v>844</v>
      </c>
      <c r="H2307" s="452"/>
      <c r="I2307" s="453" t="s">
        <v>844</v>
      </c>
      <c r="J2307" s="453"/>
      <c r="K2307" s="453"/>
      <c r="L2307" s="453"/>
      <c r="M2307" s="453"/>
      <c r="N2307" s="453"/>
      <c r="O2307" s="453"/>
      <c r="P2307" s="453"/>
      <c r="Q2307" s="453"/>
      <c r="R2307" s="453"/>
      <c r="S2307" s="453"/>
      <c r="T2307" s="453"/>
      <c r="U2307" s="453"/>
      <c r="V2307" s="453"/>
    </row>
    <row r="2308" spans="5:22" s="455" customFormat="1" hidden="1">
      <c r="E2308" s="452"/>
      <c r="F2308" s="452"/>
      <c r="G2308" s="452" t="s">
        <v>844</v>
      </c>
      <c r="H2308" s="452"/>
      <c r="I2308" s="453" t="s">
        <v>844</v>
      </c>
      <c r="J2308" s="453"/>
      <c r="K2308" s="453"/>
      <c r="L2308" s="453"/>
      <c r="M2308" s="453"/>
      <c r="N2308" s="453"/>
      <c r="O2308" s="453"/>
      <c r="P2308" s="453"/>
      <c r="Q2308" s="453"/>
      <c r="R2308" s="453"/>
      <c r="S2308" s="453"/>
      <c r="T2308" s="453"/>
      <c r="U2308" s="453"/>
      <c r="V2308" s="453"/>
    </row>
    <row r="2309" spans="5:22" s="455" customFormat="1" hidden="1">
      <c r="E2309" s="452"/>
      <c r="F2309" s="452"/>
      <c r="G2309" s="452" t="s">
        <v>844</v>
      </c>
      <c r="H2309" s="452"/>
      <c r="I2309" s="453" t="s">
        <v>844</v>
      </c>
      <c r="J2309" s="453"/>
      <c r="K2309" s="453"/>
      <c r="L2309" s="453"/>
      <c r="M2309" s="453"/>
      <c r="N2309" s="453"/>
      <c r="O2309" s="453"/>
      <c r="P2309" s="453"/>
      <c r="Q2309" s="453"/>
      <c r="R2309" s="453"/>
      <c r="S2309" s="453"/>
      <c r="T2309" s="453"/>
      <c r="U2309" s="453"/>
      <c r="V2309" s="453"/>
    </row>
    <row r="2310" spans="5:22" s="455" customFormat="1" hidden="1">
      <c r="E2310" s="452"/>
      <c r="F2310" s="452"/>
      <c r="G2310" s="452" t="s">
        <v>844</v>
      </c>
      <c r="H2310" s="452"/>
      <c r="I2310" s="453" t="s">
        <v>844</v>
      </c>
      <c r="J2310" s="453"/>
      <c r="K2310" s="453"/>
      <c r="L2310" s="453"/>
      <c r="M2310" s="453"/>
      <c r="N2310" s="453"/>
      <c r="O2310" s="453"/>
      <c r="P2310" s="453"/>
      <c r="Q2310" s="453"/>
      <c r="R2310" s="453"/>
      <c r="S2310" s="453"/>
      <c r="T2310" s="453"/>
      <c r="U2310" s="453"/>
      <c r="V2310" s="453"/>
    </row>
    <row r="2311" spans="5:22" s="455" customFormat="1" hidden="1">
      <c r="E2311" s="452"/>
      <c r="F2311" s="452"/>
      <c r="G2311" s="452" t="s">
        <v>844</v>
      </c>
      <c r="H2311" s="452"/>
      <c r="I2311" s="453" t="s">
        <v>844</v>
      </c>
      <c r="J2311" s="453"/>
      <c r="K2311" s="453"/>
      <c r="L2311" s="453"/>
      <c r="M2311" s="453"/>
      <c r="N2311" s="453"/>
      <c r="O2311" s="453"/>
      <c r="P2311" s="453"/>
      <c r="Q2311" s="453"/>
      <c r="R2311" s="453"/>
      <c r="S2311" s="453"/>
      <c r="T2311" s="453"/>
      <c r="U2311" s="453"/>
      <c r="V2311" s="453"/>
    </row>
    <row r="2312" spans="5:22" s="455" customFormat="1" hidden="1">
      <c r="E2312" s="452"/>
      <c r="F2312" s="452"/>
      <c r="G2312" s="452" t="s">
        <v>844</v>
      </c>
      <c r="H2312" s="452"/>
      <c r="I2312" s="453" t="s">
        <v>844</v>
      </c>
      <c r="J2312" s="453"/>
      <c r="K2312" s="453"/>
      <c r="L2312" s="453"/>
      <c r="M2312" s="453"/>
      <c r="N2312" s="453"/>
      <c r="O2312" s="453"/>
      <c r="P2312" s="453"/>
      <c r="Q2312" s="453"/>
      <c r="R2312" s="453"/>
      <c r="S2312" s="453"/>
      <c r="T2312" s="453"/>
      <c r="U2312" s="453"/>
      <c r="V2312" s="453"/>
    </row>
    <row r="2313" spans="5:22" s="455" customFormat="1" hidden="1">
      <c r="E2313" s="452"/>
      <c r="F2313" s="452"/>
      <c r="G2313" s="452" t="s">
        <v>844</v>
      </c>
      <c r="H2313" s="452"/>
      <c r="I2313" s="453" t="s">
        <v>844</v>
      </c>
      <c r="J2313" s="453"/>
      <c r="K2313" s="453"/>
      <c r="L2313" s="453"/>
      <c r="M2313" s="453"/>
      <c r="N2313" s="453"/>
      <c r="O2313" s="453"/>
      <c r="P2313" s="453"/>
      <c r="Q2313" s="453"/>
      <c r="R2313" s="453"/>
      <c r="S2313" s="453"/>
      <c r="T2313" s="453"/>
      <c r="U2313" s="453"/>
      <c r="V2313" s="453"/>
    </row>
    <row r="2314" spans="5:22" s="455" customFormat="1" hidden="1">
      <c r="E2314" s="452"/>
      <c r="F2314" s="452"/>
      <c r="G2314" s="452" t="s">
        <v>844</v>
      </c>
      <c r="H2314" s="452"/>
      <c r="I2314" s="453" t="s">
        <v>844</v>
      </c>
      <c r="J2314" s="453"/>
      <c r="K2314" s="453"/>
      <c r="L2314" s="453"/>
      <c r="M2314" s="453"/>
      <c r="N2314" s="453"/>
      <c r="O2314" s="453"/>
      <c r="P2314" s="453"/>
      <c r="Q2314" s="453"/>
      <c r="R2314" s="453"/>
      <c r="S2314" s="453"/>
      <c r="T2314" s="453"/>
      <c r="U2314" s="453"/>
      <c r="V2314" s="453"/>
    </row>
    <row r="2315" spans="5:22" s="455" customFormat="1" hidden="1">
      <c r="E2315" s="452"/>
      <c r="F2315" s="452"/>
      <c r="G2315" s="452" t="s">
        <v>844</v>
      </c>
      <c r="H2315" s="452"/>
      <c r="I2315" s="453" t="s">
        <v>844</v>
      </c>
      <c r="J2315" s="453"/>
      <c r="K2315" s="453"/>
      <c r="L2315" s="453"/>
      <c r="M2315" s="453"/>
      <c r="N2315" s="453"/>
      <c r="O2315" s="453"/>
      <c r="P2315" s="453"/>
      <c r="Q2315" s="453"/>
      <c r="R2315" s="453"/>
      <c r="S2315" s="453"/>
      <c r="T2315" s="453"/>
      <c r="U2315" s="453"/>
      <c r="V2315" s="453"/>
    </row>
    <row r="2316" spans="5:22" s="455" customFormat="1" hidden="1">
      <c r="E2316" s="452"/>
      <c r="F2316" s="452"/>
      <c r="G2316" s="452" t="s">
        <v>844</v>
      </c>
      <c r="H2316" s="452"/>
      <c r="I2316" s="453" t="s">
        <v>844</v>
      </c>
      <c r="J2316" s="453"/>
      <c r="K2316" s="453"/>
      <c r="L2316" s="453"/>
      <c r="M2316" s="453"/>
      <c r="N2316" s="453"/>
      <c r="O2316" s="453"/>
      <c r="P2316" s="453"/>
      <c r="Q2316" s="453"/>
      <c r="R2316" s="453"/>
      <c r="S2316" s="453"/>
      <c r="T2316" s="453"/>
      <c r="U2316" s="453"/>
      <c r="V2316" s="453"/>
    </row>
    <row r="2317" spans="5:22" s="455" customFormat="1" hidden="1">
      <c r="E2317" s="452"/>
      <c r="F2317" s="452"/>
      <c r="G2317" s="452" t="s">
        <v>844</v>
      </c>
      <c r="H2317" s="452"/>
      <c r="I2317" s="453" t="s">
        <v>844</v>
      </c>
      <c r="J2317" s="453"/>
      <c r="K2317" s="453"/>
      <c r="L2317" s="453"/>
      <c r="M2317" s="453"/>
      <c r="N2317" s="453"/>
      <c r="O2317" s="453"/>
      <c r="P2317" s="453"/>
      <c r="Q2317" s="453"/>
      <c r="R2317" s="453"/>
      <c r="S2317" s="453"/>
      <c r="T2317" s="453"/>
      <c r="U2317" s="453"/>
      <c r="V2317" s="453"/>
    </row>
    <row r="2318" spans="5:22" s="455" customFormat="1" hidden="1">
      <c r="E2318" s="452"/>
      <c r="F2318" s="452"/>
      <c r="G2318" s="452" t="s">
        <v>844</v>
      </c>
      <c r="H2318" s="452"/>
      <c r="I2318" s="453" t="s">
        <v>844</v>
      </c>
      <c r="J2318" s="453"/>
      <c r="K2318" s="453"/>
      <c r="L2318" s="453"/>
      <c r="M2318" s="453"/>
      <c r="N2318" s="453"/>
      <c r="O2318" s="453"/>
      <c r="P2318" s="453"/>
      <c r="Q2318" s="453"/>
      <c r="R2318" s="453"/>
      <c r="S2318" s="453"/>
      <c r="T2318" s="453"/>
      <c r="U2318" s="453"/>
      <c r="V2318" s="453"/>
    </row>
    <row r="2319" spans="5:22" s="455" customFormat="1" hidden="1">
      <c r="E2319" s="452"/>
      <c r="F2319" s="452"/>
      <c r="G2319" s="452" t="s">
        <v>844</v>
      </c>
      <c r="H2319" s="452"/>
      <c r="I2319" s="453" t="s">
        <v>844</v>
      </c>
      <c r="J2319" s="453"/>
      <c r="K2319" s="453"/>
      <c r="L2319" s="453"/>
      <c r="M2319" s="453"/>
      <c r="N2319" s="453"/>
      <c r="O2319" s="453"/>
      <c r="P2319" s="453"/>
      <c r="Q2319" s="453"/>
      <c r="R2319" s="453"/>
      <c r="S2319" s="453"/>
      <c r="T2319" s="453"/>
      <c r="U2319" s="453"/>
      <c r="V2319" s="453"/>
    </row>
    <row r="2320" spans="5:22" s="455" customFormat="1" hidden="1">
      <c r="E2320" s="452"/>
      <c r="F2320" s="452"/>
      <c r="G2320" s="452" t="s">
        <v>844</v>
      </c>
      <c r="H2320" s="452"/>
      <c r="I2320" s="453" t="s">
        <v>844</v>
      </c>
      <c r="J2320" s="453"/>
      <c r="K2320" s="453"/>
      <c r="L2320" s="453"/>
      <c r="M2320" s="453"/>
      <c r="N2320" s="453"/>
      <c r="O2320" s="453"/>
      <c r="P2320" s="453"/>
      <c r="Q2320" s="453"/>
      <c r="R2320" s="453"/>
      <c r="S2320" s="453"/>
      <c r="T2320" s="453"/>
      <c r="U2320" s="453"/>
      <c r="V2320" s="453"/>
    </row>
    <row r="2321" spans="5:22" s="455" customFormat="1" hidden="1">
      <c r="E2321" s="452"/>
      <c r="F2321" s="452"/>
      <c r="G2321" s="452" t="s">
        <v>844</v>
      </c>
      <c r="H2321" s="452"/>
      <c r="I2321" s="453" t="s">
        <v>844</v>
      </c>
      <c r="J2321" s="453"/>
      <c r="K2321" s="453"/>
      <c r="L2321" s="453"/>
      <c r="M2321" s="453"/>
      <c r="N2321" s="453"/>
      <c r="O2321" s="453"/>
      <c r="P2321" s="453"/>
      <c r="Q2321" s="453"/>
      <c r="R2321" s="453"/>
      <c r="S2321" s="453"/>
      <c r="T2321" s="453"/>
      <c r="U2321" s="453"/>
      <c r="V2321" s="453"/>
    </row>
    <row r="2322" spans="5:22" s="455" customFormat="1" hidden="1">
      <c r="E2322" s="452"/>
      <c r="F2322" s="452"/>
      <c r="G2322" s="452" t="s">
        <v>844</v>
      </c>
      <c r="H2322" s="452"/>
      <c r="I2322" s="453" t="s">
        <v>844</v>
      </c>
      <c r="J2322" s="453"/>
      <c r="K2322" s="453"/>
      <c r="L2322" s="453"/>
      <c r="M2322" s="453"/>
      <c r="N2322" s="453"/>
      <c r="O2322" s="453"/>
      <c r="P2322" s="453"/>
      <c r="Q2322" s="453"/>
      <c r="R2322" s="453"/>
      <c r="S2322" s="453"/>
      <c r="T2322" s="453"/>
      <c r="U2322" s="453"/>
      <c r="V2322" s="453"/>
    </row>
    <row r="2323" spans="5:22" s="455" customFormat="1" hidden="1">
      <c r="E2323" s="452"/>
      <c r="F2323" s="452"/>
      <c r="G2323" s="452" t="s">
        <v>844</v>
      </c>
      <c r="H2323" s="452"/>
      <c r="I2323" s="453" t="s">
        <v>844</v>
      </c>
      <c r="J2323" s="453"/>
      <c r="K2323" s="453"/>
      <c r="L2323" s="453"/>
      <c r="M2323" s="453"/>
      <c r="N2323" s="453"/>
      <c r="O2323" s="453"/>
      <c r="P2323" s="453"/>
      <c r="Q2323" s="453"/>
      <c r="R2323" s="453"/>
      <c r="S2323" s="453"/>
      <c r="T2323" s="453"/>
      <c r="U2323" s="453"/>
      <c r="V2323" s="453"/>
    </row>
    <row r="2324" spans="5:22" s="455" customFormat="1" hidden="1">
      <c r="E2324" s="452"/>
      <c r="F2324" s="452"/>
      <c r="G2324" s="452" t="s">
        <v>844</v>
      </c>
      <c r="H2324" s="452"/>
      <c r="I2324" s="453" t="s">
        <v>844</v>
      </c>
      <c r="J2324" s="453"/>
      <c r="K2324" s="453"/>
      <c r="L2324" s="453"/>
      <c r="M2324" s="453"/>
      <c r="N2324" s="453"/>
      <c r="O2324" s="453"/>
      <c r="P2324" s="453"/>
      <c r="Q2324" s="453"/>
      <c r="R2324" s="453"/>
      <c r="S2324" s="453"/>
      <c r="T2324" s="453"/>
      <c r="U2324" s="453"/>
      <c r="V2324" s="453"/>
    </row>
    <row r="2325" spans="5:22" s="455" customFormat="1" hidden="1">
      <c r="E2325" s="452"/>
      <c r="F2325" s="452"/>
      <c r="G2325" s="452" t="s">
        <v>844</v>
      </c>
      <c r="H2325" s="452"/>
      <c r="I2325" s="453" t="s">
        <v>844</v>
      </c>
      <c r="J2325" s="453"/>
      <c r="K2325" s="453"/>
      <c r="L2325" s="453"/>
      <c r="M2325" s="453"/>
      <c r="N2325" s="453"/>
      <c r="O2325" s="453"/>
      <c r="P2325" s="453"/>
      <c r="Q2325" s="453"/>
      <c r="R2325" s="453"/>
      <c r="S2325" s="453"/>
      <c r="T2325" s="453"/>
      <c r="U2325" s="453"/>
      <c r="V2325" s="453"/>
    </row>
    <row r="2326" spans="5:22" s="455" customFormat="1" hidden="1">
      <c r="E2326" s="452"/>
      <c r="F2326" s="452"/>
      <c r="G2326" s="452" t="s">
        <v>844</v>
      </c>
      <c r="H2326" s="452"/>
      <c r="I2326" s="453" t="s">
        <v>844</v>
      </c>
      <c r="J2326" s="453"/>
      <c r="K2326" s="453"/>
      <c r="L2326" s="453"/>
      <c r="M2326" s="453"/>
      <c r="N2326" s="453"/>
      <c r="O2326" s="453"/>
      <c r="P2326" s="453"/>
      <c r="Q2326" s="453"/>
      <c r="R2326" s="453"/>
      <c r="S2326" s="453"/>
      <c r="T2326" s="453"/>
      <c r="U2326" s="453"/>
      <c r="V2326" s="453"/>
    </row>
    <row r="2327" spans="5:22" s="455" customFormat="1" hidden="1">
      <c r="E2327" s="452"/>
      <c r="F2327" s="452"/>
      <c r="G2327" s="452" t="s">
        <v>844</v>
      </c>
      <c r="H2327" s="452"/>
      <c r="I2327" s="453" t="s">
        <v>844</v>
      </c>
      <c r="J2327" s="453"/>
      <c r="K2327" s="453"/>
      <c r="L2327" s="453"/>
      <c r="M2327" s="453"/>
      <c r="N2327" s="453"/>
      <c r="O2327" s="453"/>
      <c r="P2327" s="453"/>
      <c r="Q2327" s="453"/>
      <c r="R2327" s="453"/>
      <c r="S2327" s="453"/>
      <c r="T2327" s="453"/>
      <c r="U2327" s="453"/>
      <c r="V2327" s="453"/>
    </row>
    <row r="2328" spans="5:22" s="455" customFormat="1" hidden="1">
      <c r="E2328" s="452"/>
      <c r="F2328" s="452"/>
      <c r="G2328" s="452" t="s">
        <v>844</v>
      </c>
      <c r="H2328" s="452"/>
      <c r="I2328" s="453" t="s">
        <v>844</v>
      </c>
      <c r="J2328" s="453"/>
      <c r="K2328" s="453"/>
      <c r="L2328" s="453"/>
      <c r="M2328" s="453"/>
      <c r="N2328" s="453"/>
      <c r="O2328" s="453"/>
      <c r="P2328" s="453"/>
      <c r="Q2328" s="453"/>
      <c r="R2328" s="453"/>
      <c r="S2328" s="453"/>
      <c r="T2328" s="453"/>
      <c r="U2328" s="453"/>
      <c r="V2328" s="453"/>
    </row>
    <row r="2329" spans="5:22" s="455" customFormat="1" hidden="1">
      <c r="E2329" s="452"/>
      <c r="F2329" s="452"/>
      <c r="G2329" s="452" t="s">
        <v>844</v>
      </c>
      <c r="H2329" s="452"/>
      <c r="I2329" s="453" t="s">
        <v>844</v>
      </c>
      <c r="J2329" s="453"/>
      <c r="K2329" s="453"/>
      <c r="L2329" s="453"/>
      <c r="M2329" s="453"/>
      <c r="N2329" s="453"/>
      <c r="O2329" s="453"/>
      <c r="P2329" s="453"/>
      <c r="Q2329" s="453"/>
      <c r="R2329" s="453"/>
      <c r="S2329" s="453"/>
      <c r="T2329" s="453"/>
      <c r="U2329" s="453"/>
      <c r="V2329" s="453"/>
    </row>
    <row r="2330" spans="5:22" s="455" customFormat="1" hidden="1">
      <c r="E2330" s="452"/>
      <c r="F2330" s="452"/>
      <c r="G2330" s="452" t="s">
        <v>844</v>
      </c>
      <c r="H2330" s="452"/>
      <c r="I2330" s="453" t="s">
        <v>844</v>
      </c>
      <c r="J2330" s="453"/>
      <c r="K2330" s="453"/>
      <c r="L2330" s="453"/>
      <c r="M2330" s="453"/>
      <c r="N2330" s="453"/>
      <c r="O2330" s="453"/>
      <c r="P2330" s="453"/>
      <c r="Q2330" s="453"/>
      <c r="R2330" s="453"/>
      <c r="S2330" s="453"/>
      <c r="T2330" s="453"/>
      <c r="U2330" s="453"/>
      <c r="V2330" s="453"/>
    </row>
    <row r="2331" spans="5:22" s="455" customFormat="1" hidden="1">
      <c r="E2331" s="452"/>
      <c r="F2331" s="452"/>
      <c r="G2331" s="452" t="s">
        <v>844</v>
      </c>
      <c r="H2331" s="452"/>
      <c r="I2331" s="453" t="s">
        <v>844</v>
      </c>
      <c r="J2331" s="453"/>
      <c r="K2331" s="453"/>
      <c r="L2331" s="453"/>
      <c r="M2331" s="453"/>
      <c r="N2331" s="453"/>
      <c r="O2331" s="453"/>
      <c r="P2331" s="453"/>
      <c r="Q2331" s="453"/>
      <c r="R2331" s="453"/>
      <c r="S2331" s="453"/>
      <c r="T2331" s="453"/>
      <c r="U2331" s="453"/>
      <c r="V2331" s="453"/>
    </row>
    <row r="2332" spans="5:22" s="455" customFormat="1" hidden="1">
      <c r="E2332" s="452"/>
      <c r="F2332" s="452"/>
      <c r="G2332" s="452" t="s">
        <v>844</v>
      </c>
      <c r="H2332" s="452"/>
      <c r="I2332" s="453" t="s">
        <v>844</v>
      </c>
      <c r="J2332" s="453"/>
      <c r="K2332" s="453"/>
      <c r="L2332" s="453"/>
      <c r="M2332" s="453"/>
      <c r="N2332" s="453"/>
      <c r="O2332" s="453"/>
      <c r="P2332" s="453"/>
      <c r="Q2332" s="453"/>
      <c r="R2332" s="453"/>
      <c r="S2332" s="453"/>
      <c r="T2332" s="453"/>
      <c r="U2332" s="453"/>
      <c r="V2332" s="453"/>
    </row>
    <row r="2333" spans="5:22" s="455" customFormat="1" hidden="1">
      <c r="E2333" s="452"/>
      <c r="F2333" s="452"/>
      <c r="G2333" s="452" t="s">
        <v>844</v>
      </c>
      <c r="H2333" s="452"/>
      <c r="I2333" s="453" t="s">
        <v>844</v>
      </c>
      <c r="J2333" s="453"/>
      <c r="K2333" s="453"/>
      <c r="L2333" s="453"/>
      <c r="M2333" s="453"/>
      <c r="N2333" s="453"/>
      <c r="O2333" s="453"/>
      <c r="P2333" s="453"/>
      <c r="Q2333" s="453"/>
      <c r="R2333" s="453"/>
      <c r="S2333" s="453"/>
      <c r="T2333" s="453"/>
      <c r="U2333" s="453"/>
      <c r="V2333" s="453"/>
    </row>
    <row r="2334" spans="5:22" s="455" customFormat="1" hidden="1">
      <c r="E2334" s="452"/>
      <c r="F2334" s="452"/>
      <c r="G2334" s="452" t="s">
        <v>844</v>
      </c>
      <c r="H2334" s="452"/>
      <c r="I2334" s="453" t="s">
        <v>844</v>
      </c>
      <c r="J2334" s="453"/>
      <c r="K2334" s="453"/>
      <c r="L2334" s="453"/>
      <c r="M2334" s="453"/>
      <c r="N2334" s="453"/>
      <c r="O2334" s="453"/>
      <c r="P2334" s="453"/>
      <c r="Q2334" s="453"/>
      <c r="R2334" s="453"/>
      <c r="S2334" s="453"/>
      <c r="T2334" s="453"/>
      <c r="U2334" s="453"/>
      <c r="V2334" s="453"/>
    </row>
    <row r="2335" spans="5:22" s="455" customFormat="1" hidden="1">
      <c r="E2335" s="452"/>
      <c r="F2335" s="452"/>
      <c r="G2335" s="452" t="s">
        <v>844</v>
      </c>
      <c r="H2335" s="452"/>
      <c r="I2335" s="453" t="s">
        <v>844</v>
      </c>
      <c r="J2335" s="453"/>
      <c r="K2335" s="453"/>
      <c r="L2335" s="453"/>
      <c r="M2335" s="453"/>
      <c r="N2335" s="453"/>
      <c r="O2335" s="453"/>
      <c r="P2335" s="453"/>
      <c r="Q2335" s="453"/>
      <c r="R2335" s="453"/>
      <c r="S2335" s="453"/>
      <c r="T2335" s="453"/>
      <c r="U2335" s="453"/>
      <c r="V2335" s="453"/>
    </row>
    <row r="2336" spans="5:22" s="455" customFormat="1" hidden="1">
      <c r="E2336" s="452"/>
      <c r="F2336" s="452"/>
      <c r="G2336" s="452" t="s">
        <v>844</v>
      </c>
      <c r="H2336" s="452"/>
      <c r="I2336" s="453" t="s">
        <v>844</v>
      </c>
      <c r="J2336" s="453"/>
      <c r="K2336" s="453"/>
      <c r="L2336" s="453"/>
      <c r="M2336" s="453"/>
      <c r="N2336" s="453"/>
      <c r="O2336" s="453"/>
      <c r="P2336" s="453"/>
      <c r="Q2336" s="453"/>
      <c r="R2336" s="453"/>
      <c r="S2336" s="453"/>
      <c r="T2336" s="453"/>
      <c r="U2336" s="453"/>
      <c r="V2336" s="453"/>
    </row>
    <row r="2337" spans="5:22" s="455" customFormat="1" hidden="1">
      <c r="E2337" s="452"/>
      <c r="F2337" s="452"/>
      <c r="G2337" s="452" t="s">
        <v>844</v>
      </c>
      <c r="H2337" s="452"/>
      <c r="I2337" s="453" t="s">
        <v>844</v>
      </c>
      <c r="J2337" s="453"/>
      <c r="K2337" s="453"/>
      <c r="L2337" s="453"/>
      <c r="M2337" s="453"/>
      <c r="N2337" s="453"/>
      <c r="O2337" s="453"/>
      <c r="P2337" s="453"/>
      <c r="Q2337" s="453"/>
      <c r="R2337" s="453"/>
      <c r="S2337" s="453"/>
      <c r="T2337" s="453"/>
      <c r="U2337" s="453"/>
      <c r="V2337" s="453"/>
    </row>
    <row r="2338" spans="5:22" s="455" customFormat="1" hidden="1">
      <c r="E2338" s="452"/>
      <c r="F2338" s="452"/>
      <c r="G2338" s="452" t="s">
        <v>844</v>
      </c>
      <c r="H2338" s="452"/>
      <c r="I2338" s="453" t="s">
        <v>844</v>
      </c>
      <c r="J2338" s="453"/>
      <c r="K2338" s="453"/>
      <c r="L2338" s="453"/>
      <c r="M2338" s="453"/>
      <c r="N2338" s="453"/>
      <c r="O2338" s="453"/>
      <c r="P2338" s="453"/>
      <c r="Q2338" s="453"/>
      <c r="R2338" s="453"/>
      <c r="S2338" s="453"/>
      <c r="T2338" s="453"/>
      <c r="U2338" s="453"/>
      <c r="V2338" s="453"/>
    </row>
    <row r="2339" spans="5:22" s="455" customFormat="1" hidden="1">
      <c r="E2339" s="452"/>
      <c r="F2339" s="452"/>
      <c r="G2339" s="452" t="s">
        <v>844</v>
      </c>
      <c r="H2339" s="452"/>
      <c r="I2339" s="453" t="s">
        <v>844</v>
      </c>
      <c r="J2339" s="453"/>
      <c r="K2339" s="453"/>
      <c r="L2339" s="453"/>
      <c r="M2339" s="453"/>
      <c r="N2339" s="453"/>
      <c r="O2339" s="453"/>
      <c r="P2339" s="453"/>
      <c r="Q2339" s="453"/>
      <c r="R2339" s="453"/>
      <c r="S2339" s="453"/>
      <c r="T2339" s="453"/>
      <c r="U2339" s="453"/>
      <c r="V2339" s="453"/>
    </row>
    <row r="2340" spans="5:22" s="455" customFormat="1" hidden="1">
      <c r="E2340" s="452"/>
      <c r="F2340" s="452"/>
      <c r="G2340" s="452" t="s">
        <v>844</v>
      </c>
      <c r="H2340" s="452"/>
      <c r="I2340" s="453" t="s">
        <v>844</v>
      </c>
      <c r="J2340" s="453"/>
      <c r="K2340" s="453"/>
      <c r="L2340" s="453"/>
      <c r="M2340" s="453"/>
      <c r="N2340" s="453"/>
      <c r="O2340" s="453"/>
      <c r="P2340" s="453"/>
      <c r="Q2340" s="453"/>
      <c r="R2340" s="453"/>
      <c r="S2340" s="453"/>
      <c r="T2340" s="453"/>
      <c r="U2340" s="453"/>
      <c r="V2340" s="453"/>
    </row>
    <row r="2341" spans="5:22" s="455" customFormat="1" hidden="1">
      <c r="E2341" s="452"/>
      <c r="F2341" s="452"/>
      <c r="G2341" s="452" t="s">
        <v>844</v>
      </c>
      <c r="H2341" s="452"/>
      <c r="I2341" s="453" t="s">
        <v>844</v>
      </c>
      <c r="J2341" s="453"/>
      <c r="K2341" s="453"/>
      <c r="L2341" s="453"/>
      <c r="M2341" s="453"/>
      <c r="N2341" s="453"/>
      <c r="O2341" s="453"/>
      <c r="P2341" s="453"/>
      <c r="Q2341" s="453"/>
      <c r="R2341" s="453"/>
      <c r="S2341" s="453"/>
      <c r="T2341" s="453"/>
      <c r="U2341" s="453"/>
      <c r="V2341" s="453"/>
    </row>
    <row r="2342" spans="5:22" s="455" customFormat="1" hidden="1">
      <c r="E2342" s="452"/>
      <c r="F2342" s="452"/>
      <c r="G2342" s="452" t="s">
        <v>844</v>
      </c>
      <c r="H2342" s="452"/>
      <c r="I2342" s="453" t="s">
        <v>844</v>
      </c>
      <c r="J2342" s="453"/>
      <c r="K2342" s="453"/>
      <c r="L2342" s="453"/>
      <c r="M2342" s="453"/>
      <c r="N2342" s="453"/>
      <c r="O2342" s="453"/>
      <c r="P2342" s="453"/>
      <c r="Q2342" s="453"/>
      <c r="R2342" s="453"/>
      <c r="S2342" s="453"/>
      <c r="T2342" s="453"/>
      <c r="U2342" s="453"/>
      <c r="V2342" s="453"/>
    </row>
    <row r="2343" spans="5:22" s="455" customFormat="1" hidden="1">
      <c r="E2343" s="452"/>
      <c r="F2343" s="452"/>
      <c r="G2343" s="452" t="s">
        <v>844</v>
      </c>
      <c r="H2343" s="452"/>
      <c r="I2343" s="453" t="s">
        <v>844</v>
      </c>
      <c r="J2343" s="453"/>
      <c r="K2343" s="453"/>
      <c r="L2343" s="453"/>
      <c r="M2343" s="453"/>
      <c r="N2343" s="453"/>
      <c r="O2343" s="453"/>
      <c r="P2343" s="453"/>
      <c r="Q2343" s="453"/>
      <c r="R2343" s="453"/>
      <c r="S2343" s="453"/>
      <c r="T2343" s="453"/>
      <c r="U2343" s="453"/>
      <c r="V2343" s="453"/>
    </row>
    <row r="2344" spans="5:22" s="455" customFormat="1" hidden="1">
      <c r="E2344" s="452"/>
      <c r="F2344" s="452"/>
      <c r="G2344" s="452" t="s">
        <v>844</v>
      </c>
      <c r="H2344" s="452"/>
      <c r="I2344" s="453" t="s">
        <v>844</v>
      </c>
      <c r="J2344" s="453"/>
      <c r="K2344" s="453"/>
      <c r="L2344" s="453"/>
      <c r="M2344" s="453"/>
      <c r="N2344" s="453"/>
      <c r="O2344" s="453"/>
      <c r="P2344" s="453"/>
      <c r="Q2344" s="453"/>
      <c r="R2344" s="453"/>
      <c r="S2344" s="453"/>
      <c r="T2344" s="453"/>
      <c r="U2344" s="453"/>
      <c r="V2344" s="453"/>
    </row>
    <row r="2345" spans="5:22" s="455" customFormat="1" hidden="1">
      <c r="E2345" s="452"/>
      <c r="F2345" s="452"/>
      <c r="G2345" s="452" t="s">
        <v>844</v>
      </c>
      <c r="H2345" s="452"/>
      <c r="I2345" s="453" t="s">
        <v>844</v>
      </c>
      <c r="J2345" s="453"/>
      <c r="K2345" s="453"/>
      <c r="L2345" s="453"/>
      <c r="M2345" s="453"/>
      <c r="N2345" s="453"/>
      <c r="O2345" s="453"/>
      <c r="P2345" s="453"/>
      <c r="Q2345" s="453"/>
      <c r="R2345" s="453"/>
      <c r="S2345" s="453"/>
      <c r="T2345" s="453"/>
      <c r="U2345" s="453"/>
      <c r="V2345" s="453"/>
    </row>
    <row r="2346" spans="5:22" s="455" customFormat="1" hidden="1">
      <c r="E2346" s="452"/>
      <c r="F2346" s="452"/>
      <c r="G2346" s="452" t="s">
        <v>844</v>
      </c>
      <c r="H2346" s="452"/>
      <c r="I2346" s="453" t="s">
        <v>844</v>
      </c>
      <c r="J2346" s="453"/>
      <c r="K2346" s="453"/>
      <c r="L2346" s="453"/>
      <c r="M2346" s="453"/>
      <c r="N2346" s="453"/>
      <c r="O2346" s="453"/>
      <c r="P2346" s="453"/>
      <c r="Q2346" s="453"/>
      <c r="R2346" s="453"/>
      <c r="S2346" s="453"/>
      <c r="T2346" s="453"/>
      <c r="U2346" s="453"/>
      <c r="V2346" s="453"/>
    </row>
    <row r="2347" spans="5:22" s="455" customFormat="1" hidden="1">
      <c r="E2347" s="452"/>
      <c r="F2347" s="452"/>
      <c r="G2347" s="452" t="s">
        <v>844</v>
      </c>
      <c r="H2347" s="452"/>
      <c r="I2347" s="453" t="s">
        <v>844</v>
      </c>
      <c r="J2347" s="453"/>
      <c r="K2347" s="453"/>
      <c r="L2347" s="453"/>
      <c r="M2347" s="453"/>
      <c r="N2347" s="453"/>
      <c r="O2347" s="453"/>
      <c r="P2347" s="453"/>
      <c r="Q2347" s="453"/>
      <c r="R2347" s="453"/>
      <c r="S2347" s="453"/>
      <c r="T2347" s="453"/>
      <c r="U2347" s="453"/>
      <c r="V2347" s="453"/>
    </row>
    <row r="2348" spans="5:22" s="455" customFormat="1" hidden="1">
      <c r="E2348" s="452"/>
      <c r="F2348" s="452"/>
      <c r="G2348" s="452" t="s">
        <v>844</v>
      </c>
      <c r="H2348" s="452"/>
      <c r="I2348" s="453" t="s">
        <v>844</v>
      </c>
      <c r="J2348" s="453"/>
      <c r="K2348" s="453"/>
      <c r="L2348" s="453"/>
      <c r="M2348" s="453"/>
      <c r="N2348" s="453"/>
      <c r="O2348" s="453"/>
      <c r="P2348" s="453"/>
      <c r="Q2348" s="453"/>
      <c r="R2348" s="453"/>
      <c r="S2348" s="453"/>
      <c r="T2348" s="453"/>
      <c r="U2348" s="453"/>
      <c r="V2348" s="453"/>
    </row>
    <row r="2349" spans="5:22" s="455" customFormat="1" hidden="1">
      <c r="E2349" s="452"/>
      <c r="F2349" s="452"/>
      <c r="G2349" s="452" t="s">
        <v>844</v>
      </c>
      <c r="H2349" s="452"/>
      <c r="I2349" s="453" t="s">
        <v>844</v>
      </c>
      <c r="J2349" s="453"/>
      <c r="K2349" s="453"/>
      <c r="L2349" s="453"/>
      <c r="M2349" s="453"/>
      <c r="N2349" s="453"/>
      <c r="O2349" s="453"/>
      <c r="P2349" s="453"/>
      <c r="Q2349" s="453"/>
      <c r="R2349" s="453"/>
      <c r="S2349" s="453"/>
      <c r="T2349" s="453"/>
      <c r="U2349" s="453"/>
      <c r="V2349" s="453"/>
    </row>
    <row r="2350" spans="5:22" s="455" customFormat="1" hidden="1">
      <c r="E2350" s="452"/>
      <c r="F2350" s="452"/>
      <c r="G2350" s="452" t="s">
        <v>844</v>
      </c>
      <c r="H2350" s="452"/>
      <c r="I2350" s="453" t="s">
        <v>844</v>
      </c>
      <c r="J2350" s="453"/>
      <c r="K2350" s="453"/>
      <c r="L2350" s="453"/>
      <c r="M2350" s="453"/>
      <c r="N2350" s="453"/>
      <c r="O2350" s="453"/>
      <c r="P2350" s="453"/>
      <c r="Q2350" s="453"/>
      <c r="R2350" s="453"/>
      <c r="S2350" s="453"/>
      <c r="T2350" s="453"/>
      <c r="U2350" s="453"/>
      <c r="V2350" s="453"/>
    </row>
    <row r="2351" spans="5:22" s="455" customFormat="1" hidden="1">
      <c r="E2351" s="452"/>
      <c r="F2351" s="452"/>
      <c r="G2351" s="452" t="s">
        <v>844</v>
      </c>
      <c r="H2351" s="452"/>
      <c r="I2351" s="453" t="s">
        <v>844</v>
      </c>
      <c r="J2351" s="453"/>
      <c r="K2351" s="453"/>
      <c r="L2351" s="453"/>
      <c r="M2351" s="453"/>
      <c r="N2351" s="453"/>
      <c r="O2351" s="453"/>
      <c r="P2351" s="453"/>
      <c r="Q2351" s="453"/>
      <c r="R2351" s="453"/>
      <c r="S2351" s="453"/>
      <c r="T2351" s="453"/>
      <c r="U2351" s="453"/>
      <c r="V2351" s="453"/>
    </row>
    <row r="2352" spans="5:22" s="455" customFormat="1" hidden="1">
      <c r="E2352" s="452"/>
      <c r="F2352" s="452"/>
      <c r="G2352" s="452" t="s">
        <v>844</v>
      </c>
      <c r="H2352" s="452"/>
      <c r="I2352" s="453" t="s">
        <v>844</v>
      </c>
      <c r="J2352" s="453"/>
      <c r="K2352" s="453"/>
      <c r="L2352" s="453"/>
      <c r="M2352" s="453"/>
      <c r="N2352" s="453"/>
      <c r="O2352" s="453"/>
      <c r="P2352" s="453"/>
      <c r="Q2352" s="453"/>
      <c r="R2352" s="453"/>
      <c r="S2352" s="453"/>
      <c r="T2352" s="453"/>
      <c r="U2352" s="453"/>
      <c r="V2352" s="453"/>
    </row>
    <row r="2353" spans="5:22" s="455" customFormat="1" hidden="1">
      <c r="E2353" s="452"/>
      <c r="F2353" s="452"/>
      <c r="G2353" s="452" t="s">
        <v>844</v>
      </c>
      <c r="H2353" s="452"/>
      <c r="I2353" s="453" t="s">
        <v>844</v>
      </c>
      <c r="J2353" s="453"/>
      <c r="K2353" s="453"/>
      <c r="L2353" s="453"/>
      <c r="M2353" s="453"/>
      <c r="N2353" s="453"/>
      <c r="O2353" s="453"/>
      <c r="P2353" s="453"/>
      <c r="Q2353" s="453"/>
      <c r="R2353" s="453"/>
      <c r="S2353" s="453"/>
      <c r="T2353" s="453"/>
      <c r="U2353" s="453"/>
      <c r="V2353" s="453"/>
    </row>
    <row r="2354" spans="5:22" s="455" customFormat="1" hidden="1">
      <c r="E2354" s="452"/>
      <c r="F2354" s="452"/>
      <c r="G2354" s="452" t="s">
        <v>844</v>
      </c>
      <c r="H2354" s="452"/>
      <c r="I2354" s="453" t="s">
        <v>844</v>
      </c>
      <c r="J2354" s="453"/>
      <c r="K2354" s="453"/>
      <c r="L2354" s="453"/>
      <c r="M2354" s="453"/>
      <c r="N2354" s="453"/>
      <c r="O2354" s="453"/>
      <c r="P2354" s="453"/>
      <c r="Q2354" s="453"/>
      <c r="R2354" s="453"/>
      <c r="S2354" s="453"/>
      <c r="T2354" s="453"/>
      <c r="U2354" s="453"/>
      <c r="V2354" s="453"/>
    </row>
    <row r="2355" spans="5:22" s="455" customFormat="1" hidden="1">
      <c r="E2355" s="452"/>
      <c r="F2355" s="452"/>
      <c r="G2355" s="452" t="s">
        <v>844</v>
      </c>
      <c r="H2355" s="452"/>
      <c r="I2355" s="453" t="s">
        <v>844</v>
      </c>
      <c r="J2355" s="453"/>
      <c r="K2355" s="453"/>
      <c r="L2355" s="453"/>
      <c r="M2355" s="453"/>
      <c r="N2355" s="453"/>
      <c r="O2355" s="453"/>
      <c r="P2355" s="453"/>
      <c r="Q2355" s="453"/>
      <c r="R2355" s="453"/>
      <c r="S2355" s="453"/>
      <c r="T2355" s="453"/>
      <c r="U2355" s="453"/>
      <c r="V2355" s="453"/>
    </row>
    <row r="2356" spans="5:22" s="455" customFormat="1" hidden="1">
      <c r="E2356" s="452"/>
      <c r="F2356" s="452"/>
      <c r="G2356" s="452" t="s">
        <v>844</v>
      </c>
      <c r="H2356" s="452"/>
      <c r="I2356" s="453" t="s">
        <v>844</v>
      </c>
      <c r="J2356" s="453"/>
      <c r="K2356" s="453"/>
      <c r="L2356" s="453"/>
      <c r="M2356" s="453"/>
      <c r="N2356" s="453"/>
      <c r="O2356" s="453"/>
      <c r="P2356" s="453"/>
      <c r="Q2356" s="453"/>
      <c r="R2356" s="453"/>
      <c r="S2356" s="453"/>
      <c r="T2356" s="453"/>
      <c r="U2356" s="453"/>
      <c r="V2356" s="453"/>
    </row>
    <row r="2357" spans="5:22" s="455" customFormat="1" hidden="1">
      <c r="E2357" s="452"/>
      <c r="F2357" s="452"/>
      <c r="G2357" s="452" t="s">
        <v>844</v>
      </c>
      <c r="H2357" s="452"/>
      <c r="I2357" s="453" t="s">
        <v>844</v>
      </c>
      <c r="J2357" s="453"/>
      <c r="K2357" s="453"/>
      <c r="L2357" s="453"/>
      <c r="M2357" s="453"/>
      <c r="N2357" s="453"/>
      <c r="O2357" s="453"/>
      <c r="P2357" s="453"/>
      <c r="Q2357" s="453"/>
      <c r="R2357" s="453"/>
      <c r="S2357" s="453"/>
      <c r="T2357" s="453"/>
      <c r="U2357" s="453"/>
      <c r="V2357" s="453"/>
    </row>
    <row r="2358" spans="5:22" s="455" customFormat="1" hidden="1">
      <c r="E2358" s="452"/>
      <c r="F2358" s="452"/>
      <c r="G2358" s="452" t="s">
        <v>844</v>
      </c>
      <c r="H2358" s="452"/>
      <c r="I2358" s="453" t="s">
        <v>844</v>
      </c>
      <c r="J2358" s="453"/>
      <c r="K2358" s="453"/>
      <c r="L2358" s="453"/>
      <c r="M2358" s="453"/>
      <c r="N2358" s="453"/>
      <c r="O2358" s="453"/>
      <c r="P2358" s="453"/>
      <c r="Q2358" s="453"/>
      <c r="R2358" s="453"/>
      <c r="S2358" s="453"/>
      <c r="T2358" s="453"/>
      <c r="U2358" s="453"/>
      <c r="V2358" s="453"/>
    </row>
    <row r="2359" spans="5:22" s="455" customFormat="1" hidden="1">
      <c r="E2359" s="452"/>
      <c r="F2359" s="452"/>
      <c r="G2359" s="452" t="s">
        <v>844</v>
      </c>
      <c r="H2359" s="452"/>
      <c r="I2359" s="453" t="s">
        <v>844</v>
      </c>
      <c r="J2359" s="453"/>
      <c r="K2359" s="453"/>
      <c r="L2359" s="453"/>
      <c r="M2359" s="453"/>
      <c r="N2359" s="453"/>
      <c r="O2359" s="453"/>
      <c r="P2359" s="453"/>
      <c r="Q2359" s="453"/>
      <c r="R2359" s="453"/>
      <c r="S2359" s="453"/>
      <c r="T2359" s="453"/>
      <c r="U2359" s="453"/>
      <c r="V2359" s="453"/>
    </row>
    <row r="2360" spans="5:22" s="455" customFormat="1" hidden="1">
      <c r="E2360" s="452"/>
      <c r="F2360" s="452"/>
      <c r="G2360" s="452" t="s">
        <v>844</v>
      </c>
      <c r="H2360" s="452"/>
      <c r="I2360" s="453" t="s">
        <v>844</v>
      </c>
      <c r="J2360" s="453"/>
      <c r="K2360" s="453"/>
      <c r="L2360" s="453"/>
      <c r="M2360" s="453"/>
      <c r="N2360" s="453"/>
      <c r="O2360" s="453"/>
      <c r="P2360" s="453"/>
      <c r="Q2360" s="453"/>
      <c r="R2360" s="453"/>
      <c r="S2360" s="453"/>
      <c r="T2360" s="453"/>
      <c r="U2360" s="453"/>
      <c r="V2360" s="453"/>
    </row>
    <row r="2361" spans="5:22" s="455" customFormat="1" hidden="1">
      <c r="E2361" s="452"/>
      <c r="F2361" s="452"/>
      <c r="G2361" s="452" t="s">
        <v>844</v>
      </c>
      <c r="H2361" s="452"/>
      <c r="I2361" s="453" t="s">
        <v>844</v>
      </c>
      <c r="J2361" s="453"/>
      <c r="K2361" s="453"/>
      <c r="L2361" s="453"/>
      <c r="M2361" s="453"/>
      <c r="N2361" s="453"/>
      <c r="O2361" s="453"/>
      <c r="P2361" s="453"/>
      <c r="Q2361" s="453"/>
      <c r="R2361" s="453"/>
      <c r="S2361" s="453"/>
      <c r="T2361" s="453"/>
      <c r="U2361" s="453"/>
      <c r="V2361" s="453"/>
    </row>
    <row r="2362" spans="5:22" s="455" customFormat="1" hidden="1">
      <c r="E2362" s="452"/>
      <c r="F2362" s="452"/>
      <c r="G2362" s="452" t="s">
        <v>844</v>
      </c>
      <c r="H2362" s="452"/>
      <c r="I2362" s="453" t="s">
        <v>844</v>
      </c>
      <c r="J2362" s="453"/>
      <c r="K2362" s="453"/>
      <c r="L2362" s="453"/>
      <c r="M2362" s="453"/>
      <c r="N2362" s="453"/>
      <c r="O2362" s="453"/>
      <c r="P2362" s="453"/>
      <c r="Q2362" s="453"/>
      <c r="R2362" s="453"/>
      <c r="S2362" s="453"/>
      <c r="T2362" s="453"/>
      <c r="U2362" s="453"/>
      <c r="V2362" s="453"/>
    </row>
    <row r="2363" spans="5:22" s="455" customFormat="1" hidden="1">
      <c r="E2363" s="452"/>
      <c r="F2363" s="452"/>
      <c r="G2363" s="452" t="s">
        <v>844</v>
      </c>
      <c r="H2363" s="452"/>
      <c r="I2363" s="453" t="s">
        <v>844</v>
      </c>
      <c r="J2363" s="453"/>
      <c r="K2363" s="453"/>
      <c r="L2363" s="453"/>
      <c r="M2363" s="453"/>
      <c r="N2363" s="453"/>
      <c r="O2363" s="453"/>
      <c r="P2363" s="453"/>
      <c r="Q2363" s="453"/>
      <c r="R2363" s="453"/>
      <c r="S2363" s="453"/>
      <c r="T2363" s="453"/>
      <c r="U2363" s="453"/>
      <c r="V2363" s="453"/>
    </row>
    <row r="2364" spans="5:22" s="455" customFormat="1" hidden="1">
      <c r="E2364" s="452"/>
      <c r="F2364" s="452"/>
      <c r="G2364" s="452" t="s">
        <v>844</v>
      </c>
      <c r="H2364" s="452"/>
      <c r="I2364" s="453" t="s">
        <v>844</v>
      </c>
      <c r="J2364" s="453"/>
      <c r="K2364" s="453"/>
      <c r="L2364" s="453"/>
      <c r="M2364" s="453"/>
      <c r="N2364" s="453"/>
      <c r="O2364" s="453"/>
      <c r="P2364" s="453"/>
      <c r="Q2364" s="453"/>
      <c r="R2364" s="453"/>
      <c r="S2364" s="453"/>
      <c r="T2364" s="453"/>
      <c r="U2364" s="453"/>
      <c r="V2364" s="453"/>
    </row>
    <row r="2365" spans="5:22" s="455" customFormat="1" hidden="1">
      <c r="E2365" s="452"/>
      <c r="F2365" s="452"/>
      <c r="G2365" s="452" t="s">
        <v>844</v>
      </c>
      <c r="H2365" s="452"/>
      <c r="I2365" s="453" t="s">
        <v>844</v>
      </c>
      <c r="J2365" s="453"/>
      <c r="K2365" s="453"/>
      <c r="L2365" s="453"/>
      <c r="M2365" s="453"/>
      <c r="N2365" s="453"/>
      <c r="O2365" s="453"/>
      <c r="P2365" s="453"/>
      <c r="Q2365" s="453"/>
      <c r="R2365" s="453"/>
      <c r="S2365" s="453"/>
      <c r="T2365" s="453"/>
      <c r="U2365" s="453"/>
      <c r="V2365" s="453"/>
    </row>
    <row r="2366" spans="5:22" s="455" customFormat="1" hidden="1">
      <c r="E2366" s="452"/>
      <c r="F2366" s="452"/>
      <c r="G2366" s="452" t="s">
        <v>844</v>
      </c>
      <c r="H2366" s="452"/>
      <c r="I2366" s="453" t="s">
        <v>844</v>
      </c>
      <c r="J2366" s="453"/>
      <c r="K2366" s="453"/>
      <c r="L2366" s="453"/>
      <c r="M2366" s="453"/>
      <c r="N2366" s="453"/>
      <c r="O2366" s="453"/>
      <c r="P2366" s="453"/>
      <c r="Q2366" s="453"/>
      <c r="R2366" s="453"/>
      <c r="S2366" s="453"/>
      <c r="T2366" s="453"/>
      <c r="U2366" s="453"/>
      <c r="V2366" s="453"/>
    </row>
    <row r="2367" spans="5:22" s="455" customFormat="1" hidden="1">
      <c r="E2367" s="452"/>
      <c r="F2367" s="452"/>
      <c r="G2367" s="452" t="s">
        <v>844</v>
      </c>
      <c r="H2367" s="452"/>
      <c r="I2367" s="453" t="s">
        <v>844</v>
      </c>
      <c r="J2367" s="453"/>
      <c r="K2367" s="453"/>
      <c r="L2367" s="453"/>
      <c r="M2367" s="453"/>
      <c r="N2367" s="453"/>
      <c r="O2367" s="453"/>
      <c r="P2367" s="453"/>
      <c r="Q2367" s="453"/>
      <c r="R2367" s="453"/>
      <c r="S2367" s="453"/>
      <c r="T2367" s="453"/>
      <c r="U2367" s="453"/>
      <c r="V2367" s="453"/>
    </row>
    <row r="2368" spans="5:22" s="455" customFormat="1" hidden="1">
      <c r="E2368" s="452"/>
      <c r="F2368" s="452"/>
      <c r="G2368" s="452" t="s">
        <v>844</v>
      </c>
      <c r="H2368" s="452"/>
      <c r="I2368" s="453" t="s">
        <v>844</v>
      </c>
      <c r="J2368" s="453"/>
      <c r="K2368" s="453"/>
      <c r="L2368" s="453"/>
      <c r="M2368" s="453"/>
      <c r="N2368" s="453"/>
      <c r="O2368" s="453"/>
      <c r="P2368" s="453"/>
      <c r="Q2368" s="453"/>
      <c r="R2368" s="453"/>
      <c r="S2368" s="453"/>
      <c r="T2368" s="453"/>
      <c r="U2368" s="453"/>
      <c r="V2368" s="453"/>
    </row>
    <row r="2369" spans="5:22" s="455" customFormat="1" hidden="1">
      <c r="E2369" s="452"/>
      <c r="F2369" s="452"/>
      <c r="G2369" s="452" t="s">
        <v>844</v>
      </c>
      <c r="H2369" s="452"/>
      <c r="I2369" s="453" t="s">
        <v>844</v>
      </c>
      <c r="J2369" s="453"/>
      <c r="K2369" s="453"/>
      <c r="L2369" s="453"/>
      <c r="M2369" s="453"/>
      <c r="N2369" s="453"/>
      <c r="O2369" s="453"/>
      <c r="P2369" s="453"/>
      <c r="Q2369" s="453"/>
      <c r="R2369" s="453"/>
      <c r="S2369" s="453"/>
      <c r="T2369" s="453"/>
      <c r="U2369" s="453"/>
      <c r="V2369" s="453"/>
    </row>
    <row r="2370" spans="5:22" s="455" customFormat="1" hidden="1">
      <c r="E2370" s="452"/>
      <c r="F2370" s="452"/>
      <c r="G2370" s="452" t="s">
        <v>844</v>
      </c>
      <c r="H2370" s="452"/>
      <c r="I2370" s="453" t="s">
        <v>844</v>
      </c>
      <c r="J2370" s="453"/>
      <c r="K2370" s="453"/>
      <c r="L2370" s="453"/>
      <c r="M2370" s="453"/>
      <c r="N2370" s="453"/>
      <c r="O2370" s="453"/>
      <c r="P2370" s="453"/>
      <c r="Q2370" s="453"/>
      <c r="R2370" s="453"/>
      <c r="S2370" s="453"/>
      <c r="T2370" s="453"/>
      <c r="U2370" s="453"/>
      <c r="V2370" s="453"/>
    </row>
    <row r="2371" spans="5:22" s="455" customFormat="1" hidden="1">
      <c r="E2371" s="452"/>
      <c r="F2371" s="452"/>
      <c r="G2371" s="452" t="s">
        <v>844</v>
      </c>
      <c r="H2371" s="452"/>
      <c r="I2371" s="453" t="s">
        <v>844</v>
      </c>
      <c r="J2371" s="453"/>
      <c r="K2371" s="453"/>
      <c r="L2371" s="453"/>
      <c r="M2371" s="453"/>
      <c r="N2371" s="453"/>
      <c r="O2371" s="453"/>
      <c r="P2371" s="453"/>
      <c r="Q2371" s="453"/>
      <c r="R2371" s="453"/>
      <c r="S2371" s="453"/>
      <c r="T2371" s="453"/>
      <c r="U2371" s="453"/>
      <c r="V2371" s="453"/>
    </row>
    <row r="2372" spans="5:22" s="455" customFormat="1" hidden="1">
      <c r="E2372" s="452"/>
      <c r="F2372" s="452"/>
      <c r="G2372" s="452" t="s">
        <v>844</v>
      </c>
      <c r="H2372" s="452"/>
      <c r="I2372" s="453" t="s">
        <v>844</v>
      </c>
      <c r="J2372" s="453"/>
      <c r="K2372" s="453"/>
      <c r="L2372" s="453"/>
      <c r="M2372" s="453"/>
      <c r="N2372" s="453"/>
      <c r="O2372" s="453"/>
      <c r="P2372" s="453"/>
      <c r="Q2372" s="453"/>
      <c r="R2372" s="453"/>
      <c r="S2372" s="453"/>
      <c r="T2372" s="453"/>
      <c r="U2372" s="453"/>
      <c r="V2372" s="453"/>
    </row>
    <row r="2373" spans="5:22" s="455" customFormat="1" hidden="1">
      <c r="E2373" s="452"/>
      <c r="F2373" s="452"/>
      <c r="G2373" s="452" t="s">
        <v>844</v>
      </c>
      <c r="H2373" s="452"/>
      <c r="I2373" s="453" t="s">
        <v>844</v>
      </c>
      <c r="J2373" s="453"/>
      <c r="K2373" s="453"/>
      <c r="L2373" s="453"/>
      <c r="M2373" s="453"/>
      <c r="N2373" s="453"/>
      <c r="O2373" s="453"/>
      <c r="P2373" s="453"/>
      <c r="Q2373" s="453"/>
      <c r="R2373" s="453"/>
      <c r="S2373" s="453"/>
      <c r="T2373" s="453"/>
      <c r="U2373" s="453"/>
      <c r="V2373" s="453"/>
    </row>
    <row r="2374" spans="5:22" s="455" customFormat="1" hidden="1">
      <c r="E2374" s="452"/>
      <c r="F2374" s="452"/>
      <c r="G2374" s="452" t="s">
        <v>844</v>
      </c>
      <c r="H2374" s="452"/>
      <c r="I2374" s="453" t="s">
        <v>844</v>
      </c>
      <c r="J2374" s="453"/>
      <c r="K2374" s="453"/>
      <c r="L2374" s="453"/>
      <c r="M2374" s="453"/>
      <c r="N2374" s="453"/>
      <c r="O2374" s="453"/>
      <c r="P2374" s="453"/>
      <c r="Q2374" s="453"/>
      <c r="R2374" s="453"/>
      <c r="S2374" s="453"/>
      <c r="T2374" s="453"/>
      <c r="U2374" s="453"/>
      <c r="V2374" s="453"/>
    </row>
    <row r="2375" spans="5:22" s="455" customFormat="1" hidden="1">
      <c r="E2375" s="452"/>
      <c r="F2375" s="452"/>
      <c r="G2375" s="452" t="s">
        <v>844</v>
      </c>
      <c r="H2375" s="452"/>
      <c r="I2375" s="453" t="s">
        <v>844</v>
      </c>
      <c r="J2375" s="453"/>
      <c r="K2375" s="453"/>
      <c r="L2375" s="453"/>
      <c r="M2375" s="453"/>
      <c r="N2375" s="453"/>
      <c r="O2375" s="453"/>
      <c r="P2375" s="453"/>
      <c r="Q2375" s="453"/>
      <c r="R2375" s="453"/>
      <c r="S2375" s="453"/>
      <c r="T2375" s="453"/>
      <c r="U2375" s="453"/>
      <c r="V2375" s="453"/>
    </row>
    <row r="2376" spans="5:22" s="455" customFormat="1" hidden="1">
      <c r="E2376" s="452"/>
      <c r="F2376" s="452"/>
      <c r="G2376" s="452" t="s">
        <v>844</v>
      </c>
      <c r="H2376" s="452"/>
      <c r="I2376" s="453" t="s">
        <v>844</v>
      </c>
      <c r="J2376" s="453"/>
      <c r="K2376" s="453"/>
      <c r="L2376" s="453"/>
      <c r="M2376" s="453"/>
      <c r="N2376" s="453"/>
      <c r="O2376" s="453"/>
      <c r="P2376" s="453"/>
      <c r="Q2376" s="453"/>
      <c r="R2376" s="453"/>
      <c r="S2376" s="453"/>
      <c r="T2376" s="453"/>
      <c r="U2376" s="453"/>
      <c r="V2376" s="453"/>
    </row>
    <row r="2377" spans="5:22" s="455" customFormat="1" hidden="1">
      <c r="E2377" s="452"/>
      <c r="F2377" s="452"/>
      <c r="G2377" s="452" t="s">
        <v>844</v>
      </c>
      <c r="H2377" s="452"/>
      <c r="I2377" s="453" t="s">
        <v>844</v>
      </c>
      <c r="J2377" s="453"/>
      <c r="K2377" s="453"/>
      <c r="L2377" s="453"/>
      <c r="M2377" s="453"/>
      <c r="N2377" s="453"/>
      <c r="O2377" s="453"/>
      <c r="P2377" s="453"/>
      <c r="Q2377" s="453"/>
      <c r="R2377" s="453"/>
      <c r="S2377" s="453"/>
      <c r="T2377" s="453"/>
      <c r="U2377" s="453"/>
      <c r="V2377" s="453"/>
    </row>
    <row r="2378" spans="5:22" s="455" customFormat="1" hidden="1">
      <c r="E2378" s="452"/>
      <c r="F2378" s="452"/>
      <c r="G2378" s="452" t="s">
        <v>844</v>
      </c>
      <c r="H2378" s="452"/>
      <c r="I2378" s="453" t="s">
        <v>844</v>
      </c>
      <c r="J2378" s="453"/>
      <c r="K2378" s="453"/>
      <c r="L2378" s="453"/>
      <c r="M2378" s="453"/>
      <c r="N2378" s="453"/>
      <c r="O2378" s="453"/>
      <c r="P2378" s="453"/>
      <c r="Q2378" s="453"/>
      <c r="R2378" s="453"/>
      <c r="S2378" s="453"/>
      <c r="T2378" s="453"/>
      <c r="U2378" s="453"/>
      <c r="V2378" s="453"/>
    </row>
    <row r="2379" spans="5:22" s="455" customFormat="1" hidden="1">
      <c r="E2379" s="452"/>
      <c r="F2379" s="452"/>
      <c r="G2379" s="452" t="s">
        <v>844</v>
      </c>
      <c r="H2379" s="452"/>
      <c r="I2379" s="453" t="s">
        <v>844</v>
      </c>
      <c r="J2379" s="453"/>
      <c r="K2379" s="453"/>
      <c r="L2379" s="453"/>
      <c r="M2379" s="453"/>
      <c r="N2379" s="453"/>
      <c r="O2379" s="453"/>
      <c r="P2379" s="453"/>
      <c r="Q2379" s="453"/>
      <c r="R2379" s="453"/>
      <c r="S2379" s="453"/>
      <c r="T2379" s="453"/>
      <c r="U2379" s="453"/>
      <c r="V2379" s="453"/>
    </row>
    <row r="2380" spans="5:22" s="455" customFormat="1" hidden="1">
      <c r="E2380" s="452"/>
      <c r="F2380" s="452"/>
      <c r="G2380" s="452" t="s">
        <v>844</v>
      </c>
      <c r="H2380" s="452"/>
      <c r="I2380" s="453" t="s">
        <v>844</v>
      </c>
      <c r="J2380" s="453"/>
      <c r="K2380" s="453"/>
      <c r="L2380" s="453"/>
      <c r="M2380" s="453"/>
      <c r="N2380" s="453"/>
      <c r="O2380" s="453"/>
      <c r="P2380" s="453"/>
      <c r="Q2380" s="453"/>
      <c r="R2380" s="453"/>
      <c r="S2380" s="453"/>
      <c r="T2380" s="453"/>
      <c r="U2380" s="453"/>
      <c r="V2380" s="453"/>
    </row>
    <row r="2381" spans="5:22" s="455" customFormat="1" hidden="1">
      <c r="E2381" s="452"/>
      <c r="F2381" s="452"/>
      <c r="G2381" s="452" t="s">
        <v>844</v>
      </c>
      <c r="H2381" s="452"/>
      <c r="I2381" s="453" t="s">
        <v>844</v>
      </c>
      <c r="J2381" s="453"/>
      <c r="K2381" s="453"/>
      <c r="L2381" s="453"/>
      <c r="M2381" s="453"/>
      <c r="N2381" s="453"/>
      <c r="O2381" s="453"/>
      <c r="P2381" s="453"/>
      <c r="Q2381" s="453"/>
      <c r="R2381" s="453"/>
      <c r="S2381" s="453"/>
      <c r="T2381" s="453"/>
      <c r="U2381" s="453"/>
      <c r="V2381" s="453"/>
    </row>
    <row r="2382" spans="5:22" s="455" customFormat="1" hidden="1">
      <c r="E2382" s="452"/>
      <c r="F2382" s="452"/>
      <c r="G2382" s="452" t="s">
        <v>844</v>
      </c>
      <c r="H2382" s="452"/>
      <c r="I2382" s="453" t="s">
        <v>844</v>
      </c>
      <c r="J2382" s="453"/>
      <c r="K2382" s="453"/>
      <c r="L2382" s="453"/>
      <c r="M2382" s="453"/>
      <c r="N2382" s="453"/>
      <c r="O2382" s="453"/>
      <c r="P2382" s="453"/>
      <c r="Q2382" s="453"/>
      <c r="R2382" s="453"/>
      <c r="S2382" s="453"/>
      <c r="T2382" s="453"/>
      <c r="U2382" s="453"/>
      <c r="V2382" s="453"/>
    </row>
    <row r="2383" spans="5:22" s="455" customFormat="1" hidden="1">
      <c r="E2383" s="452"/>
      <c r="F2383" s="452"/>
      <c r="G2383" s="452" t="s">
        <v>844</v>
      </c>
      <c r="H2383" s="452"/>
      <c r="I2383" s="453" t="s">
        <v>844</v>
      </c>
      <c r="J2383" s="453"/>
      <c r="K2383" s="453"/>
      <c r="L2383" s="453"/>
      <c r="M2383" s="453"/>
      <c r="N2383" s="453"/>
      <c r="O2383" s="453"/>
      <c r="P2383" s="453"/>
      <c r="Q2383" s="453"/>
      <c r="R2383" s="453"/>
      <c r="S2383" s="453"/>
      <c r="T2383" s="453"/>
      <c r="U2383" s="453"/>
      <c r="V2383" s="453"/>
    </row>
    <row r="2384" spans="5:22" s="455" customFormat="1" hidden="1">
      <c r="E2384" s="452"/>
      <c r="F2384" s="452"/>
      <c r="G2384" s="452" t="s">
        <v>844</v>
      </c>
      <c r="H2384" s="452"/>
      <c r="I2384" s="453" t="s">
        <v>844</v>
      </c>
      <c r="J2384" s="453"/>
      <c r="K2384" s="453"/>
      <c r="L2384" s="453"/>
      <c r="M2384" s="453"/>
      <c r="N2384" s="453"/>
      <c r="O2384" s="453"/>
      <c r="P2384" s="453"/>
      <c r="Q2384" s="453"/>
      <c r="R2384" s="453"/>
      <c r="S2384" s="453"/>
      <c r="T2384" s="453"/>
      <c r="U2384" s="453"/>
      <c r="V2384" s="453"/>
    </row>
    <row r="2385" spans="5:23" s="455" customFormat="1" hidden="1">
      <c r="E2385" s="452"/>
      <c r="F2385" s="452"/>
      <c r="G2385" s="452" t="s">
        <v>844</v>
      </c>
      <c r="H2385" s="452"/>
      <c r="I2385" s="453" t="s">
        <v>844</v>
      </c>
      <c r="J2385" s="453"/>
      <c r="K2385" s="453"/>
      <c r="L2385" s="453"/>
      <c r="M2385" s="453"/>
      <c r="N2385" s="453"/>
      <c r="O2385" s="453"/>
      <c r="P2385" s="453"/>
      <c r="Q2385" s="453"/>
      <c r="R2385" s="453"/>
      <c r="S2385" s="453"/>
      <c r="T2385" s="453"/>
      <c r="U2385" s="453"/>
      <c r="V2385" s="453"/>
    </row>
    <row r="2386" spans="5:23" s="455" customFormat="1" hidden="1">
      <c r="E2386" s="452"/>
      <c r="F2386" s="452"/>
      <c r="G2386" s="452" t="s">
        <v>844</v>
      </c>
      <c r="H2386" s="452"/>
      <c r="I2386" s="453" t="s">
        <v>844</v>
      </c>
      <c r="J2386" s="453"/>
      <c r="K2386" s="453"/>
      <c r="L2386" s="453"/>
      <c r="M2386" s="453"/>
      <c r="N2386" s="453"/>
      <c r="O2386" s="453"/>
      <c r="P2386" s="453"/>
      <c r="Q2386" s="453"/>
      <c r="R2386" s="453"/>
      <c r="S2386" s="453"/>
      <c r="T2386" s="453"/>
      <c r="U2386" s="453"/>
      <c r="V2386" s="453"/>
    </row>
    <row r="2387" spans="5:23" s="455" customFormat="1" hidden="1">
      <c r="E2387" s="452"/>
      <c r="F2387" s="452"/>
      <c r="G2387" s="452" t="s">
        <v>844</v>
      </c>
      <c r="H2387" s="452"/>
      <c r="I2387" s="453" t="s">
        <v>844</v>
      </c>
      <c r="J2387" s="453"/>
      <c r="K2387" s="453"/>
      <c r="L2387" s="453"/>
      <c r="M2387" s="453"/>
      <c r="N2387" s="453"/>
      <c r="O2387" s="453"/>
      <c r="P2387" s="453"/>
      <c r="Q2387" s="453"/>
      <c r="R2387" s="453"/>
      <c r="S2387" s="453"/>
      <c r="T2387" s="453"/>
      <c r="U2387" s="453"/>
      <c r="V2387" s="453"/>
    </row>
    <row r="2388" spans="5:23" s="455" customFormat="1" hidden="1">
      <c r="E2388" s="452"/>
      <c r="F2388" s="452"/>
      <c r="G2388" s="452" t="s">
        <v>844</v>
      </c>
      <c r="H2388" s="452"/>
      <c r="I2388" s="453" t="s">
        <v>844</v>
      </c>
      <c r="J2388" s="453"/>
      <c r="K2388" s="453"/>
      <c r="L2388" s="453"/>
      <c r="M2388" s="453"/>
      <c r="N2388" s="453"/>
      <c r="O2388" s="453"/>
      <c r="P2388" s="453"/>
      <c r="Q2388" s="453"/>
      <c r="R2388" s="453"/>
      <c r="S2388" s="453"/>
      <c r="T2388" s="453"/>
      <c r="U2388" s="453"/>
      <c r="V2388" s="453"/>
    </row>
    <row r="2389" spans="5:23" s="455" customFormat="1" hidden="1">
      <c r="E2389" s="452"/>
      <c r="F2389" s="452"/>
      <c r="G2389" s="452" t="s">
        <v>844</v>
      </c>
      <c r="H2389" s="452"/>
      <c r="I2389" s="453" t="s">
        <v>844</v>
      </c>
      <c r="J2389" s="453"/>
      <c r="K2389" s="453"/>
      <c r="L2389" s="453"/>
      <c r="M2389" s="453"/>
      <c r="N2389" s="453"/>
      <c r="O2389" s="453"/>
      <c r="P2389" s="453"/>
      <c r="Q2389" s="453"/>
      <c r="R2389" s="453"/>
      <c r="S2389" s="453"/>
      <c r="T2389" s="453"/>
      <c r="U2389" s="453"/>
      <c r="V2389" s="453"/>
    </row>
    <row r="2390" spans="5:23" s="455" customFormat="1" hidden="1">
      <c r="E2390" s="452"/>
      <c r="F2390" s="452"/>
      <c r="G2390" s="452" t="s">
        <v>844</v>
      </c>
      <c r="H2390" s="452"/>
      <c r="I2390" s="453" t="s">
        <v>844</v>
      </c>
      <c r="J2390" s="453"/>
      <c r="K2390" s="453"/>
      <c r="L2390" s="453"/>
      <c r="M2390" s="453"/>
      <c r="N2390" s="453"/>
      <c r="O2390" s="453"/>
      <c r="P2390" s="453"/>
      <c r="Q2390" s="453"/>
      <c r="R2390" s="453"/>
      <c r="S2390" s="453"/>
      <c r="T2390" s="453"/>
      <c r="U2390" s="453"/>
      <c r="V2390" s="453"/>
    </row>
    <row r="2391" spans="5:23" s="455" customFormat="1" hidden="1">
      <c r="E2391" s="452"/>
      <c r="F2391" s="452"/>
      <c r="G2391" s="452" t="s">
        <v>844</v>
      </c>
      <c r="H2391" s="452"/>
      <c r="I2391" s="453" t="s">
        <v>844</v>
      </c>
      <c r="J2391" s="453"/>
      <c r="K2391" s="453"/>
      <c r="L2391" s="453"/>
      <c r="M2391" s="453"/>
      <c r="N2391" s="453"/>
      <c r="O2391" s="453"/>
      <c r="P2391" s="453"/>
      <c r="Q2391" s="453"/>
      <c r="R2391" s="453"/>
      <c r="S2391" s="453"/>
      <c r="T2391" s="453"/>
      <c r="U2391" s="453"/>
      <c r="V2391" s="453"/>
    </row>
    <row r="2392" spans="5:23" s="455" customFormat="1" hidden="1">
      <c r="E2392" s="452"/>
      <c r="F2392" s="452"/>
      <c r="G2392" s="452" t="s">
        <v>844</v>
      </c>
      <c r="H2392" s="452"/>
      <c r="I2392" s="453" t="s">
        <v>844</v>
      </c>
      <c r="J2392" s="453"/>
      <c r="K2392" s="453"/>
      <c r="L2392" s="453"/>
      <c r="M2392" s="453"/>
      <c r="N2392" s="453"/>
      <c r="O2392" s="453"/>
      <c r="P2392" s="453"/>
      <c r="Q2392" s="453"/>
      <c r="R2392" s="453"/>
      <c r="S2392" s="453"/>
      <c r="T2392" s="453"/>
      <c r="U2392" s="453"/>
      <c r="V2392" s="453"/>
    </row>
    <row r="2393" spans="5:23" s="455" customFormat="1" hidden="1">
      <c r="E2393" s="452"/>
      <c r="F2393" s="452"/>
      <c r="G2393" s="452" t="s">
        <v>844</v>
      </c>
      <c r="H2393" s="452"/>
      <c r="I2393" s="453" t="s">
        <v>844</v>
      </c>
      <c r="J2393" s="453"/>
      <c r="K2393" s="453"/>
      <c r="L2393" s="453"/>
      <c r="M2393" s="453"/>
      <c r="N2393" s="453"/>
      <c r="O2393" s="453"/>
      <c r="P2393" s="453"/>
      <c r="Q2393" s="453"/>
      <c r="R2393" s="453"/>
      <c r="S2393" s="453"/>
      <c r="T2393" s="453"/>
      <c r="U2393" s="453"/>
      <c r="V2393" s="453"/>
    </row>
    <row r="2394" spans="5:23" s="455" customFormat="1" hidden="1">
      <c r="E2394" s="452"/>
      <c r="F2394" s="452"/>
      <c r="G2394" s="452" t="s">
        <v>844</v>
      </c>
      <c r="H2394" s="452"/>
      <c r="I2394" s="453" t="s">
        <v>844</v>
      </c>
      <c r="J2394" s="453"/>
      <c r="K2394" s="453"/>
      <c r="L2394" s="453"/>
      <c r="M2394" s="453"/>
      <c r="N2394" s="453"/>
      <c r="O2394" s="453"/>
      <c r="P2394" s="453"/>
      <c r="Q2394" s="453"/>
      <c r="R2394" s="453"/>
      <c r="S2394" s="453"/>
      <c r="T2394" s="453"/>
      <c r="U2394" s="453"/>
      <c r="V2394" s="453"/>
    </row>
    <row r="2395" spans="5:23" s="455" customFormat="1" hidden="1">
      <c r="E2395" s="452"/>
      <c r="F2395" s="452"/>
      <c r="G2395" s="452" t="s">
        <v>844</v>
      </c>
      <c r="H2395" s="452"/>
      <c r="I2395" s="453" t="s">
        <v>844</v>
      </c>
      <c r="J2395" s="453"/>
      <c r="K2395" s="453"/>
      <c r="L2395" s="453"/>
      <c r="M2395" s="453"/>
      <c r="N2395" s="453"/>
      <c r="O2395" s="453"/>
      <c r="P2395" s="453"/>
      <c r="Q2395" s="453"/>
      <c r="R2395" s="453"/>
      <c r="S2395" s="453"/>
      <c r="T2395" s="453"/>
      <c r="U2395" s="453"/>
      <c r="V2395" s="453"/>
    </row>
    <row r="2396" spans="5:23" s="455" customFormat="1" hidden="1">
      <c r="E2396" s="452"/>
      <c r="F2396" s="452"/>
      <c r="G2396" s="452" t="s">
        <v>844</v>
      </c>
      <c r="H2396" s="452"/>
      <c r="I2396" s="453" t="s">
        <v>844</v>
      </c>
      <c r="J2396" s="453"/>
      <c r="K2396" s="453"/>
      <c r="L2396" s="453"/>
      <c r="M2396" s="453"/>
      <c r="N2396" s="453"/>
      <c r="O2396" s="453"/>
      <c r="P2396" s="453"/>
      <c r="Q2396" s="453"/>
      <c r="R2396" s="453"/>
      <c r="S2396" s="453"/>
      <c r="T2396" s="453"/>
      <c r="U2396" s="453"/>
      <c r="V2396" s="453"/>
    </row>
    <row r="2397" spans="5:23" s="455" customFormat="1" hidden="1">
      <c r="E2397" s="452"/>
      <c r="F2397" s="452"/>
      <c r="G2397" s="452" t="s">
        <v>844</v>
      </c>
      <c r="H2397" s="452"/>
      <c r="I2397" s="453" t="s">
        <v>844</v>
      </c>
      <c r="J2397" s="453"/>
      <c r="K2397" s="453"/>
      <c r="L2397" s="453"/>
      <c r="M2397" s="453"/>
      <c r="N2397" s="453"/>
      <c r="O2397" s="453"/>
      <c r="P2397" s="453"/>
      <c r="Q2397" s="453"/>
      <c r="R2397" s="453"/>
      <c r="S2397" s="453"/>
      <c r="T2397" s="453"/>
      <c r="U2397" s="453"/>
      <c r="V2397" s="453"/>
    </row>
    <row r="2398" spans="5:23" s="455" customFormat="1" hidden="1">
      <c r="E2398" s="452"/>
      <c r="F2398" s="452"/>
      <c r="G2398" s="452" t="s">
        <v>844</v>
      </c>
      <c r="H2398" s="452"/>
      <c r="I2398" s="453" t="s">
        <v>844</v>
      </c>
      <c r="J2398" s="453"/>
      <c r="K2398" s="453"/>
      <c r="L2398" s="453"/>
      <c r="M2398" s="453"/>
      <c r="N2398" s="453"/>
      <c r="O2398" s="453"/>
      <c r="P2398" s="453"/>
      <c r="Q2398" s="453"/>
      <c r="R2398" s="453"/>
      <c r="S2398" s="453"/>
      <c r="T2398" s="453"/>
      <c r="U2398" s="453"/>
      <c r="V2398" s="453"/>
    </row>
    <row r="2399" spans="5:23" s="455" customFormat="1" hidden="1">
      <c r="E2399" s="452"/>
      <c r="F2399" s="452"/>
      <c r="G2399" s="452"/>
      <c r="H2399" s="452"/>
      <c r="I2399" s="453"/>
      <c r="J2399" s="453"/>
      <c r="K2399" s="453"/>
      <c r="L2399" s="453"/>
      <c r="M2399" s="453"/>
      <c r="N2399" s="453"/>
      <c r="O2399" s="453"/>
      <c r="P2399" s="453"/>
      <c r="Q2399" s="453"/>
      <c r="R2399" s="453"/>
      <c r="S2399" s="453"/>
      <c r="T2399" s="453"/>
      <c r="U2399" s="453"/>
      <c r="V2399" s="453"/>
    </row>
    <row r="2400" spans="5:23" s="468" customFormat="1" ht="13.5" hidden="1" thickBot="1">
      <c r="E2400" s="466"/>
      <c r="F2400" s="466"/>
      <c r="G2400" s="466"/>
      <c r="H2400" s="466"/>
      <c r="I2400" s="466"/>
      <c r="J2400" s="466">
        <f t="shared" ref="J2400:T2400" si="70">SUM(J3:J2399)</f>
        <v>-18403834.559999917</v>
      </c>
      <c r="K2400" s="466">
        <f t="shared" si="70"/>
        <v>-1.6338890418410301E-7</v>
      </c>
      <c r="L2400" s="466">
        <f t="shared" si="70"/>
        <v>1306227.6099998662</v>
      </c>
      <c r="M2400" s="466">
        <f t="shared" si="70"/>
        <v>1981487.0099994899</v>
      </c>
      <c r="N2400" s="466">
        <f t="shared" si="70"/>
        <v>18403834.559999861</v>
      </c>
      <c r="O2400" s="466">
        <f t="shared" si="70"/>
        <v>18403834.559999861</v>
      </c>
      <c r="P2400" s="466">
        <f t="shared" si="70"/>
        <v>18403834.559999861</v>
      </c>
      <c r="Q2400" s="466">
        <f t="shared" si="70"/>
        <v>18182766.889999844</v>
      </c>
      <c r="R2400" s="466">
        <f t="shared" si="70"/>
        <v>18182766.889999844</v>
      </c>
      <c r="S2400" s="466">
        <f t="shared" si="70"/>
        <v>18182766.889999844</v>
      </c>
      <c r="T2400" s="466">
        <f t="shared" si="70"/>
        <v>18182766.889999844</v>
      </c>
      <c r="U2400" s="466">
        <f>SUM(U3:U2399)</f>
        <v>18182766.889999844</v>
      </c>
      <c r="V2400" s="466">
        <f>SUM(V3:V2399)</f>
        <v>18182766.889999844</v>
      </c>
      <c r="W2400" s="467"/>
    </row>
    <row r="2401" spans="5:22" s="469" customFormat="1" hidden="1">
      <c r="E2401" s="469">
        <f>COLUMNS($E2400:E$2403)</f>
        <v>1</v>
      </c>
      <c r="F2401" s="469">
        <f>COLUMNS($E2400:F$2403)</f>
        <v>2</v>
      </c>
      <c r="G2401" s="469">
        <f>COLUMNS($E2400:G$2403)</f>
        <v>3</v>
      </c>
      <c r="H2401" s="469">
        <f>COLUMNS($E2400:H$2403)</f>
        <v>4</v>
      </c>
      <c r="I2401" s="469">
        <f>COLUMNS($E2400:I$2403)</f>
        <v>5</v>
      </c>
      <c r="J2401" s="469">
        <f>COLUMNS($E2400:J$2403)</f>
        <v>6</v>
      </c>
      <c r="K2401" s="469">
        <f>COLUMNS($E2400:K$2403)</f>
        <v>7</v>
      </c>
      <c r="L2401" s="469">
        <f>COLUMNS($E2400:L$2403)</f>
        <v>8</v>
      </c>
      <c r="M2401" s="469">
        <f>COLUMNS($E2400:M$2403)</f>
        <v>9</v>
      </c>
      <c r="N2401" s="469">
        <f>COLUMNS($E2400:N$2403)</f>
        <v>10</v>
      </c>
      <c r="O2401" s="469">
        <f>COLUMNS($E2400:O$2403)</f>
        <v>11</v>
      </c>
      <c r="P2401" s="469">
        <f>COLUMNS($E2400:P$2403)</f>
        <v>12</v>
      </c>
      <c r="Q2401" s="469">
        <f>COLUMNS($E2400:Q$2403)</f>
        <v>13</v>
      </c>
      <c r="R2401" s="469">
        <f>COLUMNS($E2400:R$2403)</f>
        <v>14</v>
      </c>
      <c r="S2401" s="469">
        <f>COLUMNS($E2400:S$2403)</f>
        <v>15</v>
      </c>
      <c r="T2401" s="469">
        <f>COLUMNS($E2400:T$2403)</f>
        <v>16</v>
      </c>
      <c r="U2401" s="469">
        <f>COLUMNS($E2400:U$2403)</f>
        <v>17</v>
      </c>
      <c r="V2401" s="469">
        <f>COLUMNS($E2400:V$2403)</f>
        <v>18</v>
      </c>
    </row>
    <row r="2402" spans="5:22" hidden="1">
      <c r="H2402" s="470" t="s">
        <v>840</v>
      </c>
      <c r="K2402" s="472">
        <f t="shared" ref="K2402:V2402" si="71">SUMIF($E$3:$E$2399,$H$2402,K3:K2399)</f>
        <v>1306227.6099998998</v>
      </c>
      <c r="L2402" s="472">
        <f t="shared" si="71"/>
        <v>1981487.0099998759</v>
      </c>
      <c r="M2402" s="472">
        <f t="shared" si="71"/>
        <v>3190338.3899998721</v>
      </c>
      <c r="N2402" s="472">
        <f t="shared" si="71"/>
        <v>18403834.559999861</v>
      </c>
      <c r="O2402" s="472">
        <f t="shared" si="71"/>
        <v>18403834.559999861</v>
      </c>
      <c r="P2402" s="472">
        <f t="shared" si="71"/>
        <v>18403834.559999861</v>
      </c>
      <c r="Q2402" s="472">
        <f t="shared" si="71"/>
        <v>18182766.889999844</v>
      </c>
      <c r="R2402" s="472">
        <f t="shared" si="71"/>
        <v>18182766.889999844</v>
      </c>
      <c r="S2402" s="472">
        <f t="shared" si="71"/>
        <v>18182766.889999844</v>
      </c>
      <c r="T2402" s="472">
        <f>SUMIF($E$3:$E$2399,$H$2402,T3:T2399)</f>
        <v>18182766.889999844</v>
      </c>
      <c r="U2402" s="472">
        <f t="shared" si="71"/>
        <v>18182766.889999844</v>
      </c>
      <c r="V2402" s="472">
        <f t="shared" si="71"/>
        <v>18182766.889999844</v>
      </c>
    </row>
    <row r="2403" spans="5:22" hidden="1">
      <c r="H2403" s="470" t="s">
        <v>902</v>
      </c>
      <c r="K2403" s="472">
        <f t="shared" ref="K2403:V2403" si="72">SUMIF($E$3:$E$2399,$H$2403,K3:K2399)</f>
        <v>-1306227.6099999999</v>
      </c>
      <c r="L2403" s="472">
        <f t="shared" si="72"/>
        <v>-675259.40000000363</v>
      </c>
      <c r="M2403" s="472">
        <f t="shared" si="72"/>
        <v>-1208851.380000002</v>
      </c>
      <c r="N2403" s="472">
        <f t="shared" si="72"/>
        <v>0</v>
      </c>
      <c r="O2403" s="472">
        <f t="shared" si="72"/>
        <v>0</v>
      </c>
      <c r="P2403" s="472">
        <f t="shared" si="72"/>
        <v>0</v>
      </c>
      <c r="Q2403" s="472">
        <f t="shared" si="72"/>
        <v>0</v>
      </c>
      <c r="R2403" s="472">
        <f t="shared" si="72"/>
        <v>0</v>
      </c>
      <c r="S2403" s="472">
        <f>SUMIF($E$3:$E$2399,$H$2403,S3:S2399)</f>
        <v>0</v>
      </c>
      <c r="T2403" s="472">
        <f>SUMIF($E$3:$E$2399,$H$2403,T3:T2399)</f>
        <v>0</v>
      </c>
      <c r="U2403" s="472">
        <f t="shared" si="72"/>
        <v>0</v>
      </c>
      <c r="V2403" s="472">
        <f t="shared" si="72"/>
        <v>0</v>
      </c>
    </row>
  </sheetData>
  <autoFilter ref="A1:W2403">
    <filterColumn colId="1">
      <filters>
        <filter val="3rd party Other income/(expense)"/>
      </filters>
    </filterColumn>
  </autoFilter>
  <conditionalFormatting sqref="E2401:V2401 E2402:H65536 E1:H2400">
    <cfRule type="expression" dxfId="18" priority="8" stopIfTrue="1">
      <formula>OR(#REF!="10009000000000",#REF!="18005303001100",#REF!="18005303001200",#REF!="80002051200000",#REF!="80002121600000",#REF!="80002121700000",#REF!="80002121800000",#REF!="80002121900000",#REF!="80002131101000",#REF!="80002131201000")</formula>
    </cfRule>
    <cfRule type="expression" dxfId="17" priority="9" stopIfTrue="1">
      <formula>OR(#REF!="80003050000000",#REF!="80001001301000",#REF!="800010015010000",#REF!="80001021000000",#REF!="80001021100000",#REF!="80001021200000",#REF!="80001031000000")</formula>
    </cfRule>
  </conditionalFormatting>
  <conditionalFormatting sqref="E3:H2165">
    <cfRule type="expression" dxfId="16" priority="3" stopIfTrue="1">
      <formula>OR(#REF!="10009000000000",#REF!="18005303001100",#REF!="18005303001200",#REF!="80002051200000",#REF!="80002121600000",#REF!="80002121700000",#REF!="80002121800000",#REF!="80002121900000",#REF!="80002131101000",#REF!="80002131201000")</formula>
    </cfRule>
    <cfRule type="expression" dxfId="15" priority="4" stopIfTrue="1">
      <formula>OR(#REF!="80003050000000",#REF!="80001001301000",#REF!="800010015010000",#REF!="80001021000000",#REF!="80001021100000",#REF!="80001021200000",#REF!="80001031000000")</formula>
    </cfRule>
  </conditionalFormatting>
  <conditionalFormatting sqref="E3:H2165">
    <cfRule type="expression" dxfId="14" priority="1" stopIfTrue="1">
      <formula>OR(#REF!="10009000000000",#REF!="18005303001100",#REF!="18005303001200",#REF!="80002051200000",#REF!="80002121600000",#REF!="80002121700000",#REF!="80002121800000",#REF!="80002121900000",#REF!="80002131101000",#REF!="80002131201000")</formula>
    </cfRule>
    <cfRule type="expression" dxfId="13" priority="2" stopIfTrue="1">
      <formula>OR(#REF!="80003050000000",#REF!="80001001301000",#REF!="800010015010000",#REF!="80001021000000",#REF!="80001021100000",#REF!="80001021200000",#REF!="80001031000000")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3" filterMode="1">
    <tabColor rgb="FFFFC000"/>
  </sheetPr>
  <dimension ref="A1:X555"/>
  <sheetViews>
    <sheetView workbookViewId="0"/>
  </sheetViews>
  <sheetFormatPr defaultRowHeight="12.75"/>
  <cols>
    <col min="1" max="1" width="13.140625" style="471" bestFit="1" customWidth="1"/>
    <col min="2" max="2" width="28.85546875" style="471" bestFit="1" customWidth="1"/>
    <col min="3" max="3" width="9.5703125" style="471" bestFit="1" customWidth="1"/>
    <col min="4" max="4" width="5.28515625" style="471" bestFit="1" customWidth="1"/>
    <col min="5" max="5" width="5.42578125" style="470" bestFit="1" customWidth="1"/>
    <col min="6" max="6" width="9.140625" style="470"/>
    <col min="7" max="7" width="11" style="470" bestFit="1" customWidth="1"/>
    <col min="8" max="8" width="32.42578125" style="470" bestFit="1" customWidth="1"/>
    <col min="9" max="9" width="3" style="471" customWidth="1"/>
    <col min="10" max="10" width="0.42578125" style="471" customWidth="1"/>
    <col min="11" max="11" width="17.7109375" style="471" customWidth="1"/>
    <col min="12" max="20" width="15.5703125" style="471" customWidth="1"/>
    <col min="21" max="22" width="15.5703125" style="471" bestFit="1" customWidth="1"/>
    <col min="23" max="23" width="9.5703125" style="471" bestFit="1" customWidth="1"/>
    <col min="24" max="16384" width="9.140625" style="471"/>
  </cols>
  <sheetData>
    <row r="1" spans="1:22" s="455" customFormat="1">
      <c r="E1" s="451"/>
      <c r="F1" s="451"/>
      <c r="G1" s="452"/>
      <c r="H1" s="452"/>
      <c r="I1" s="453"/>
      <c r="J1" s="453"/>
      <c r="K1" s="454">
        <f>+Alcom!K1</f>
        <v>40663</v>
      </c>
      <c r="L1" s="454">
        <f>+Alcom!L1</f>
        <v>40694</v>
      </c>
      <c r="M1" s="454">
        <f>+Alcom!M1</f>
        <v>40724</v>
      </c>
      <c r="N1" s="454">
        <f>+Alcom!N1</f>
        <v>40755</v>
      </c>
      <c r="O1" s="454">
        <f>+Alcom!O1</f>
        <v>40786</v>
      </c>
      <c r="P1" s="454">
        <f>+Alcom!P1</f>
        <v>40816</v>
      </c>
      <c r="Q1" s="454">
        <f>+Alcom!Q1</f>
        <v>40847</v>
      </c>
      <c r="R1" s="454">
        <f>+Alcom!R1</f>
        <v>40877</v>
      </c>
      <c r="S1" s="454">
        <f>+Alcom!S1</f>
        <v>40908</v>
      </c>
      <c r="T1" s="454">
        <f>+Alcom!T1</f>
        <v>40939</v>
      </c>
      <c r="U1" s="454">
        <f>+Alcom!U1</f>
        <v>40968</v>
      </c>
      <c r="V1" s="454">
        <f>+Alcom!V1</f>
        <v>40999</v>
      </c>
    </row>
    <row r="2" spans="1:22" s="459" customFormat="1" ht="12.75" hidden="1" customHeight="1">
      <c r="E2" s="456" t="s">
        <v>838</v>
      </c>
      <c r="F2" s="456" t="s">
        <v>622</v>
      </c>
      <c r="G2" s="456" t="s">
        <v>624</v>
      </c>
      <c r="H2" s="456" t="s">
        <v>839</v>
      </c>
      <c r="I2" s="457"/>
      <c r="J2" s="457"/>
      <c r="K2" s="458">
        <v>1</v>
      </c>
      <c r="L2" s="458">
        <v>2</v>
      </c>
      <c r="M2" s="458">
        <v>3</v>
      </c>
      <c r="N2" s="458">
        <v>4</v>
      </c>
      <c r="O2" s="458">
        <v>5</v>
      </c>
      <c r="P2" s="458">
        <v>6</v>
      </c>
      <c r="Q2" s="458">
        <v>7</v>
      </c>
      <c r="R2" s="458">
        <v>8</v>
      </c>
      <c r="S2" s="458">
        <v>9</v>
      </c>
      <c r="T2" s="458">
        <v>10</v>
      </c>
      <c r="U2" s="458">
        <v>11</v>
      </c>
      <c r="V2" s="458">
        <v>12</v>
      </c>
    </row>
    <row r="3" spans="1:22" s="455" customFormat="1" ht="12.75" hidden="1" customHeight="1">
      <c r="A3" s="455" t="str">
        <f>F3&amp;G3</f>
        <v>60001010000000</v>
      </c>
      <c r="B3" s="455" t="str">
        <f>VLOOKUP(LEFT($C$3:$C$2600,3),Table!$N$2:$O$88,2,FALSE)</f>
        <v>Net fixed assets</v>
      </c>
      <c r="C3" s="535" t="str">
        <f>IF(ISNA(D3),G3,D3)</f>
        <v>1010000000</v>
      </c>
      <c r="D3" s="455" t="e">
        <f>VLOOKUP(G3,Table!$Q$3:$R$21,2,FALSE)</f>
        <v>#N/A</v>
      </c>
      <c r="E3" s="460" t="s">
        <v>840</v>
      </c>
      <c r="F3" s="452" t="s">
        <v>2102</v>
      </c>
      <c r="G3" s="452" t="s">
        <v>2103</v>
      </c>
      <c r="H3" s="452" t="s">
        <v>261</v>
      </c>
      <c r="I3" s="453" t="s">
        <v>842</v>
      </c>
      <c r="J3" s="453">
        <v>35080290.299999997</v>
      </c>
      <c r="K3" s="461">
        <v>35080290.299999997</v>
      </c>
      <c r="L3" s="461">
        <v>35080290.299999997</v>
      </c>
      <c r="M3" s="461">
        <v>35080290.299999997</v>
      </c>
      <c r="N3" s="461">
        <v>35080290.299999997</v>
      </c>
      <c r="O3" s="461">
        <v>35080290.299999997</v>
      </c>
      <c r="P3" s="461">
        <v>35080290.299999997</v>
      </c>
      <c r="Q3" s="461">
        <v>35080290.299999997</v>
      </c>
      <c r="R3" s="461">
        <v>35080290.299999997</v>
      </c>
      <c r="S3" s="461">
        <v>35080290.299999997</v>
      </c>
      <c r="T3" s="461">
        <v>35080290.299999997</v>
      </c>
      <c r="U3" s="461">
        <v>35080290.299999997</v>
      </c>
      <c r="V3" s="461">
        <v>35080290.299999997</v>
      </c>
    </row>
    <row r="4" spans="1:22" s="455" customFormat="1" ht="12.75" hidden="1" customHeight="1">
      <c r="A4" s="455" t="str">
        <f t="shared" ref="A4:A67" si="0">F4&amp;G4</f>
        <v>60001010000000</v>
      </c>
      <c r="B4" s="455" t="str">
        <f>VLOOKUP(LEFT($C$3:$C$2600,3),Table!$N$2:$O$88,2,FALSE)</f>
        <v>Net fixed assets</v>
      </c>
      <c r="C4" s="535" t="str">
        <f t="shared" ref="C4:C67" si="1">IF(ISNA(D4),G4,D4)</f>
        <v>1010000000</v>
      </c>
      <c r="D4" s="455" t="e">
        <f>VLOOKUP(G4,Table!$Q$3:$R$21,2,FALSE)</f>
        <v>#N/A</v>
      </c>
      <c r="E4" s="452" t="s">
        <v>840</v>
      </c>
      <c r="F4" s="452" t="s">
        <v>2102</v>
      </c>
      <c r="G4" s="452" t="s">
        <v>2103</v>
      </c>
      <c r="H4" s="452" t="s">
        <v>261</v>
      </c>
      <c r="I4" s="453" t="s">
        <v>844</v>
      </c>
      <c r="J4" s="453">
        <v>0</v>
      </c>
      <c r="K4" s="461">
        <v>-1810</v>
      </c>
      <c r="L4" s="461">
        <v>-1810</v>
      </c>
      <c r="M4" s="461">
        <v>223261</v>
      </c>
      <c r="N4" s="461">
        <v>223261</v>
      </c>
      <c r="O4" s="461">
        <v>223261</v>
      </c>
      <c r="P4" s="461">
        <v>223261</v>
      </c>
      <c r="Q4" s="461">
        <v>0</v>
      </c>
      <c r="R4" s="461">
        <v>0</v>
      </c>
      <c r="S4" s="461">
        <v>0</v>
      </c>
      <c r="T4" s="461">
        <v>0</v>
      </c>
      <c r="U4" s="461">
        <v>0</v>
      </c>
      <c r="V4" s="461">
        <v>0</v>
      </c>
    </row>
    <row r="5" spans="1:22" s="455" customFormat="1" ht="12.75" hidden="1" customHeight="1">
      <c r="A5" s="455" t="str">
        <f t="shared" si="0"/>
        <v>60001040000000</v>
      </c>
      <c r="B5" s="455" t="str">
        <f>VLOOKUP(LEFT($C$3:$C$2600,3),Table!$N$2:$O$88,2,FALSE)</f>
        <v>Net fixed assets</v>
      </c>
      <c r="C5" s="535" t="str">
        <f t="shared" si="1"/>
        <v>1040000000</v>
      </c>
      <c r="D5" s="455" t="e">
        <f>VLOOKUP(G5,Table!$Q$3:$R$21,2,FALSE)</f>
        <v>#N/A</v>
      </c>
      <c r="E5" s="452" t="s">
        <v>840</v>
      </c>
      <c r="F5" s="452" t="s">
        <v>2102</v>
      </c>
      <c r="G5" s="452" t="s">
        <v>2104</v>
      </c>
      <c r="H5" s="452" t="s">
        <v>262</v>
      </c>
      <c r="I5" s="453" t="s">
        <v>842</v>
      </c>
      <c r="J5" s="453">
        <v>77420</v>
      </c>
      <c r="K5" s="461">
        <v>77420</v>
      </c>
      <c r="L5" s="461">
        <v>77420</v>
      </c>
      <c r="M5" s="461">
        <v>77420</v>
      </c>
      <c r="N5" s="461">
        <v>77420</v>
      </c>
      <c r="O5" s="461">
        <v>77420</v>
      </c>
      <c r="P5" s="461">
        <v>77420</v>
      </c>
      <c r="Q5" s="461">
        <v>77420</v>
      </c>
      <c r="R5" s="461">
        <v>77420</v>
      </c>
      <c r="S5" s="461">
        <v>77420</v>
      </c>
      <c r="T5" s="461">
        <v>77420</v>
      </c>
      <c r="U5" s="461">
        <v>77420</v>
      </c>
      <c r="V5" s="461">
        <v>77420</v>
      </c>
    </row>
    <row r="6" spans="1:22" s="455" customFormat="1" ht="12.75" hidden="1" customHeight="1">
      <c r="A6" s="455" t="str">
        <f t="shared" si="0"/>
        <v>60001040000000</v>
      </c>
      <c r="B6" s="455" t="str">
        <f>VLOOKUP(LEFT($C$3:$C$2600,3),Table!$N$2:$O$88,2,FALSE)</f>
        <v>Net fixed assets</v>
      </c>
      <c r="C6" s="535" t="str">
        <f t="shared" si="1"/>
        <v>1040000000</v>
      </c>
      <c r="D6" s="455" t="e">
        <f>VLOOKUP(G6,Table!$Q$3:$R$21,2,FALSE)</f>
        <v>#N/A</v>
      </c>
      <c r="E6" s="452" t="s">
        <v>840</v>
      </c>
      <c r="F6" s="452" t="s">
        <v>2102</v>
      </c>
      <c r="G6" s="452" t="s">
        <v>2104</v>
      </c>
      <c r="H6" s="452" t="s">
        <v>262</v>
      </c>
      <c r="I6" s="453" t="s">
        <v>844</v>
      </c>
      <c r="J6" s="453">
        <v>0</v>
      </c>
      <c r="K6" s="461">
        <v>-3642</v>
      </c>
      <c r="L6" s="461">
        <v>16925</v>
      </c>
      <c r="M6" s="461">
        <v>-35276</v>
      </c>
      <c r="N6" s="461">
        <v>-66020</v>
      </c>
      <c r="O6" s="461">
        <v>-66020</v>
      </c>
      <c r="P6" s="461">
        <v>-66020</v>
      </c>
      <c r="Q6" s="461">
        <v>0</v>
      </c>
      <c r="R6" s="461">
        <v>0</v>
      </c>
      <c r="S6" s="461">
        <v>0</v>
      </c>
      <c r="T6" s="461">
        <v>0</v>
      </c>
      <c r="U6" s="461">
        <v>0</v>
      </c>
      <c r="V6" s="461">
        <v>0</v>
      </c>
    </row>
    <row r="7" spans="1:22" s="455" customFormat="1" ht="12.75" hidden="1" customHeight="1">
      <c r="A7" s="455" t="str">
        <f t="shared" si="0"/>
        <v>60001301000000</v>
      </c>
      <c r="B7" s="455" t="str">
        <f>VLOOKUP(LEFT($C$3:$C$2600,3),Table!$N$2:$O$88,2,FALSE)</f>
        <v>Other assets</v>
      </c>
      <c r="C7" s="535" t="str">
        <f t="shared" si="1"/>
        <v>1301000000</v>
      </c>
      <c r="D7" s="455" t="e">
        <f>VLOOKUP(G7,Table!$Q$3:$R$21,2,FALSE)</f>
        <v>#N/A</v>
      </c>
      <c r="E7" s="452" t="s">
        <v>840</v>
      </c>
      <c r="F7" s="452" t="s">
        <v>2102</v>
      </c>
      <c r="G7" s="452" t="s">
        <v>2001</v>
      </c>
      <c r="H7" s="452" t="s">
        <v>295</v>
      </c>
      <c r="I7" s="453" t="s">
        <v>842</v>
      </c>
      <c r="J7" s="453">
        <v>14800</v>
      </c>
      <c r="K7" s="461">
        <v>14800</v>
      </c>
      <c r="L7" s="461">
        <v>14800</v>
      </c>
      <c r="M7" s="461">
        <v>14800</v>
      </c>
      <c r="N7" s="461">
        <v>14800</v>
      </c>
      <c r="O7" s="461">
        <v>14800</v>
      </c>
      <c r="P7" s="461">
        <v>14800</v>
      </c>
      <c r="Q7" s="461">
        <v>14800</v>
      </c>
      <c r="R7" s="461">
        <v>14800</v>
      </c>
      <c r="S7" s="461">
        <v>14800</v>
      </c>
      <c r="T7" s="461">
        <v>14800</v>
      </c>
      <c r="U7" s="461">
        <v>14800</v>
      </c>
      <c r="V7" s="461">
        <v>14800</v>
      </c>
    </row>
    <row r="8" spans="1:22" s="455" customFormat="1" ht="12.75" hidden="1" customHeight="1">
      <c r="A8" s="455" t="str">
        <f t="shared" si="0"/>
        <v>60001301100000</v>
      </c>
      <c r="B8" s="455" t="str">
        <f>VLOOKUP(LEFT($C$3:$C$2600,3),Table!$N$2:$O$88,2,FALSE)</f>
        <v>Other assets</v>
      </c>
      <c r="C8" s="535" t="str">
        <f t="shared" si="1"/>
        <v>1301100000</v>
      </c>
      <c r="D8" s="455" t="e">
        <f>VLOOKUP(G8,Table!$Q$3:$R$21,2,FALSE)</f>
        <v>#N/A</v>
      </c>
      <c r="E8" s="452" t="s">
        <v>840</v>
      </c>
      <c r="F8" s="452" t="s">
        <v>2102</v>
      </c>
      <c r="G8" s="452" t="s">
        <v>2105</v>
      </c>
      <c r="H8" s="452" t="s">
        <v>296</v>
      </c>
      <c r="I8" s="453" t="s">
        <v>842</v>
      </c>
      <c r="J8" s="453">
        <v>54868</v>
      </c>
      <c r="K8" s="461">
        <v>50882</v>
      </c>
      <c r="L8" s="461">
        <v>47636</v>
      </c>
      <c r="M8" s="461">
        <v>43585</v>
      </c>
      <c r="N8" s="461">
        <v>43585</v>
      </c>
      <c r="O8" s="461">
        <v>43585</v>
      </c>
      <c r="P8" s="461">
        <v>43585</v>
      </c>
      <c r="Q8" s="461">
        <v>43585</v>
      </c>
      <c r="R8" s="461">
        <v>43585</v>
      </c>
      <c r="S8" s="461">
        <v>43585</v>
      </c>
      <c r="T8" s="461">
        <v>43585</v>
      </c>
      <c r="U8" s="461">
        <v>43585</v>
      </c>
      <c r="V8" s="461">
        <v>43585</v>
      </c>
    </row>
    <row r="9" spans="1:22" s="455" customFormat="1" ht="12.75" hidden="1" customHeight="1">
      <c r="A9" s="455" t="str">
        <f t="shared" si="0"/>
        <v>60001311100000</v>
      </c>
      <c r="B9" s="455" t="str">
        <f>VLOOKUP(LEFT($C$3:$C$2600,3),Table!$N$2:$O$88,2,FALSE)</f>
        <v>Other assets</v>
      </c>
      <c r="C9" s="535" t="str">
        <f t="shared" si="1"/>
        <v>1311100000</v>
      </c>
      <c r="D9" s="455" t="e">
        <f>VLOOKUP(G9,Table!$Q$3:$R$21,2,FALSE)</f>
        <v>#N/A</v>
      </c>
      <c r="E9" s="452" t="s">
        <v>840</v>
      </c>
      <c r="F9" s="452" t="s">
        <v>2102</v>
      </c>
      <c r="G9" s="452" t="s">
        <v>2106</v>
      </c>
      <c r="H9" s="452" t="s">
        <v>278</v>
      </c>
      <c r="I9" s="453" t="s">
        <v>842</v>
      </c>
      <c r="J9" s="453">
        <v>-76941.179999999993</v>
      </c>
      <c r="K9" s="461">
        <v>-76941.179999999993</v>
      </c>
      <c r="L9" s="461">
        <v>-76941.179999999993</v>
      </c>
      <c r="M9" s="461">
        <v>-76941.179999999993</v>
      </c>
      <c r="N9" s="461">
        <v>-76941.179999999993</v>
      </c>
      <c r="O9" s="461">
        <v>-76941.179999999993</v>
      </c>
      <c r="P9" s="461">
        <v>-76941.179999999993</v>
      </c>
      <c r="Q9" s="461">
        <v>-76941.179999999993</v>
      </c>
      <c r="R9" s="461">
        <v>-76941.179999999993</v>
      </c>
      <c r="S9" s="461">
        <v>-76941.179999999993</v>
      </c>
      <c r="T9" s="461">
        <v>-76941.179999999993</v>
      </c>
      <c r="U9" s="461">
        <v>-76941.179999999993</v>
      </c>
      <c r="V9" s="461">
        <v>-76941.179999999993</v>
      </c>
    </row>
    <row r="10" spans="1:22" s="455" customFormat="1" ht="12.75" hidden="1" customHeight="1">
      <c r="A10" s="455" t="str">
        <f t="shared" si="0"/>
        <v>60001311200000</v>
      </c>
      <c r="B10" s="455" t="str">
        <f>VLOOKUP(LEFT($C$3:$C$2600,3),Table!$N$2:$O$88,2,FALSE)</f>
        <v>Other assets</v>
      </c>
      <c r="C10" s="535" t="str">
        <f t="shared" si="1"/>
        <v>1311200000</v>
      </c>
      <c r="D10" s="455" t="e">
        <f>VLOOKUP(G10,Table!$Q$3:$R$21,2,FALSE)</f>
        <v>#N/A</v>
      </c>
      <c r="E10" s="452" t="s">
        <v>840</v>
      </c>
      <c r="F10" s="452" t="s">
        <v>2102</v>
      </c>
      <c r="G10" s="452" t="s">
        <v>2011</v>
      </c>
      <c r="H10" s="452" t="s">
        <v>151</v>
      </c>
      <c r="I10" s="453" t="s">
        <v>842</v>
      </c>
      <c r="J10" s="453">
        <v>-417645.5</v>
      </c>
      <c r="K10" s="461">
        <v>-426645.5</v>
      </c>
      <c r="L10" s="461">
        <v>-435645.5</v>
      </c>
      <c r="M10" s="461">
        <v>-444645.5</v>
      </c>
      <c r="N10" s="461">
        <v>-444645.5</v>
      </c>
      <c r="O10" s="461">
        <v>-444645.5</v>
      </c>
      <c r="P10" s="461">
        <v>-444645.5</v>
      </c>
      <c r="Q10" s="461">
        <v>-444645.5</v>
      </c>
      <c r="R10" s="461">
        <v>-444645.5</v>
      </c>
      <c r="S10" s="461">
        <v>-444645.5</v>
      </c>
      <c r="T10" s="461">
        <v>-444645.5</v>
      </c>
      <c r="U10" s="461">
        <v>-444645.5</v>
      </c>
      <c r="V10" s="461">
        <v>-444645.5</v>
      </c>
    </row>
    <row r="11" spans="1:22" s="455" customFormat="1" ht="12.75" hidden="1" customHeight="1">
      <c r="A11" s="455" t="str">
        <f t="shared" si="0"/>
        <v>60001401000000</v>
      </c>
      <c r="B11" s="455" t="str">
        <f>VLOOKUP(LEFT($C$3:$C$2600,3),Table!$N$2:$O$88,2,FALSE)</f>
        <v>Inventories</v>
      </c>
      <c r="C11" s="535" t="str">
        <f t="shared" si="1"/>
        <v>1401000000</v>
      </c>
      <c r="D11" s="455" t="e">
        <f>VLOOKUP(G11,Table!$Q$3:$R$21,2,FALSE)</f>
        <v>#N/A</v>
      </c>
      <c r="E11" s="452" t="s">
        <v>840</v>
      </c>
      <c r="F11" s="452" t="s">
        <v>2102</v>
      </c>
      <c r="G11" s="452" t="s">
        <v>2107</v>
      </c>
      <c r="H11" s="452" t="s">
        <v>264</v>
      </c>
      <c r="I11" s="453" t="s">
        <v>842</v>
      </c>
      <c r="J11" s="453">
        <v>565562.6</v>
      </c>
      <c r="K11" s="461">
        <v>792292.89</v>
      </c>
      <c r="L11" s="461">
        <v>480101.36</v>
      </c>
      <c r="M11" s="461">
        <v>902759.04</v>
      </c>
      <c r="N11" s="461">
        <v>902759.04</v>
      </c>
      <c r="O11" s="461">
        <v>902759.04</v>
      </c>
      <c r="P11" s="461">
        <v>902759.04</v>
      </c>
      <c r="Q11" s="461">
        <v>902759.04</v>
      </c>
      <c r="R11" s="461">
        <v>902759.04</v>
      </c>
      <c r="S11" s="461">
        <v>902759.04</v>
      </c>
      <c r="T11" s="461">
        <v>902759.04</v>
      </c>
      <c r="U11" s="461">
        <v>902759.04</v>
      </c>
      <c r="V11" s="461">
        <v>902759.04</v>
      </c>
    </row>
    <row r="12" spans="1:22" s="455" customFormat="1" ht="12.75" hidden="1" customHeight="1">
      <c r="A12" s="455" t="str">
        <f t="shared" si="0"/>
        <v>60001402000000</v>
      </c>
      <c r="B12" s="455" t="str">
        <f>VLOOKUP(LEFT($C$3:$C$2600,3),Table!$N$2:$O$88,2,FALSE)</f>
        <v>Inventories</v>
      </c>
      <c r="C12" s="535" t="str">
        <f t="shared" si="1"/>
        <v>1402000000</v>
      </c>
      <c r="D12" s="455" t="e">
        <f>VLOOKUP(G12,Table!$Q$3:$R$21,2,FALSE)</f>
        <v>#N/A</v>
      </c>
      <c r="E12" s="452" t="s">
        <v>840</v>
      </c>
      <c r="F12" s="452" t="s">
        <v>2102</v>
      </c>
      <c r="G12" s="452" t="s">
        <v>2108</v>
      </c>
      <c r="H12" s="452" t="s">
        <v>265</v>
      </c>
      <c r="I12" s="453" t="s">
        <v>842</v>
      </c>
      <c r="J12" s="453">
        <v>549331.48</v>
      </c>
      <c r="K12" s="461">
        <v>635930.72</v>
      </c>
      <c r="L12" s="461">
        <v>1002720.77</v>
      </c>
      <c r="M12" s="461">
        <v>964636.65</v>
      </c>
      <c r="N12" s="461">
        <v>964636.65</v>
      </c>
      <c r="O12" s="461">
        <v>964636.65</v>
      </c>
      <c r="P12" s="461">
        <v>964636.65</v>
      </c>
      <c r="Q12" s="461">
        <v>964636.65</v>
      </c>
      <c r="R12" s="461">
        <v>964636.65</v>
      </c>
      <c r="S12" s="461">
        <v>964636.65</v>
      </c>
      <c r="T12" s="461">
        <v>964636.65</v>
      </c>
      <c r="U12" s="461">
        <v>964636.65</v>
      </c>
      <c r="V12" s="461">
        <v>964636.65</v>
      </c>
    </row>
    <row r="13" spans="1:22" s="455" customFormat="1" ht="12.75" hidden="1" customHeight="1">
      <c r="A13" s="455" t="str">
        <f t="shared" si="0"/>
        <v>60001403100000</v>
      </c>
      <c r="B13" s="455" t="str">
        <f>VLOOKUP(LEFT($C$3:$C$2600,3),Table!$N$2:$O$88,2,FALSE)</f>
        <v>Inventories</v>
      </c>
      <c r="C13" s="535" t="str">
        <f t="shared" si="1"/>
        <v>1403100000</v>
      </c>
      <c r="D13" s="455" t="e">
        <f>VLOOKUP(G13,Table!$Q$3:$R$21,2,FALSE)</f>
        <v>#N/A</v>
      </c>
      <c r="E13" s="452" t="s">
        <v>840</v>
      </c>
      <c r="F13" s="452" t="s">
        <v>2102</v>
      </c>
      <c r="G13" s="452" t="s">
        <v>2109</v>
      </c>
      <c r="H13" s="452" t="s">
        <v>267</v>
      </c>
      <c r="I13" s="453" t="s">
        <v>842</v>
      </c>
      <c r="J13" s="453">
        <v>621328.56000000006</v>
      </c>
      <c r="K13" s="461">
        <v>710702.73</v>
      </c>
      <c r="L13" s="461">
        <v>832314.34</v>
      </c>
      <c r="M13" s="461">
        <v>974367.7</v>
      </c>
      <c r="N13" s="461">
        <v>974367.7</v>
      </c>
      <c r="O13" s="461">
        <v>974367.7</v>
      </c>
      <c r="P13" s="461">
        <v>974367.7</v>
      </c>
      <c r="Q13" s="461">
        <v>974367.7</v>
      </c>
      <c r="R13" s="461">
        <v>974367.7</v>
      </c>
      <c r="S13" s="461">
        <v>974367.7</v>
      </c>
      <c r="T13" s="461">
        <v>974367.7</v>
      </c>
      <c r="U13" s="461">
        <v>974367.7</v>
      </c>
      <c r="V13" s="461">
        <v>974367.7</v>
      </c>
    </row>
    <row r="14" spans="1:22" s="455" customFormat="1" ht="12.75" hidden="1" customHeight="1">
      <c r="A14" s="455" t="str">
        <f t="shared" si="0"/>
        <v>60001404000000</v>
      </c>
      <c r="B14" s="455" t="str">
        <f>VLOOKUP(LEFT($C$3:$C$2600,3),Table!$N$2:$O$88,2,FALSE)</f>
        <v>Inventories</v>
      </c>
      <c r="C14" s="535" t="str">
        <f t="shared" si="1"/>
        <v>1404000000</v>
      </c>
      <c r="D14" s="455" t="e">
        <f>VLOOKUP(G14,Table!$Q$3:$R$21,2,FALSE)</f>
        <v>#N/A</v>
      </c>
      <c r="E14" s="452" t="s">
        <v>840</v>
      </c>
      <c r="F14" s="452" t="s">
        <v>2102</v>
      </c>
      <c r="G14" s="452" t="s">
        <v>2110</v>
      </c>
      <c r="H14" s="452" t="s">
        <v>69</v>
      </c>
      <c r="I14" s="453" t="s">
        <v>842</v>
      </c>
      <c r="J14" s="453">
        <v>4230151.6900000004</v>
      </c>
      <c r="K14" s="461">
        <v>4853702.29</v>
      </c>
      <c r="L14" s="461">
        <v>4357152.93</v>
      </c>
      <c r="M14" s="461">
        <v>3481383.88</v>
      </c>
      <c r="N14" s="461">
        <v>3481383.88</v>
      </c>
      <c r="O14" s="461">
        <v>3481383.88</v>
      </c>
      <c r="P14" s="461">
        <v>3481383.88</v>
      </c>
      <c r="Q14" s="461">
        <v>3481383.88</v>
      </c>
      <c r="R14" s="461">
        <v>3481383.88</v>
      </c>
      <c r="S14" s="461">
        <v>3481383.88</v>
      </c>
      <c r="T14" s="461">
        <v>3481383.88</v>
      </c>
      <c r="U14" s="461">
        <v>3481383.88</v>
      </c>
      <c r="V14" s="461">
        <v>3481383.88</v>
      </c>
    </row>
    <row r="15" spans="1:22" s="455" customFormat="1" ht="12.75" hidden="1" customHeight="1">
      <c r="A15" s="455" t="str">
        <f t="shared" si="0"/>
        <v>60001405000000</v>
      </c>
      <c r="B15" s="455" t="str">
        <f>VLOOKUP(LEFT($C$3:$C$2600,3),Table!$N$2:$O$88,2,FALSE)</f>
        <v>Inventories</v>
      </c>
      <c r="C15" s="535" t="str">
        <f t="shared" si="1"/>
        <v>1405000000</v>
      </c>
      <c r="D15" s="455" t="e">
        <f>VLOOKUP(G15,Table!$Q$3:$R$21,2,FALSE)</f>
        <v>#N/A</v>
      </c>
      <c r="E15" s="452" t="s">
        <v>840</v>
      </c>
      <c r="F15" s="452" t="s">
        <v>2102</v>
      </c>
      <c r="G15" s="452" t="s">
        <v>2111</v>
      </c>
      <c r="H15" s="452" t="s">
        <v>268</v>
      </c>
      <c r="I15" s="453" t="s">
        <v>842</v>
      </c>
      <c r="J15" s="453">
        <v>852146.27</v>
      </c>
      <c r="K15" s="461">
        <v>852146.27</v>
      </c>
      <c r="L15" s="461">
        <v>899451.43</v>
      </c>
      <c r="M15" s="461">
        <v>912757.03</v>
      </c>
      <c r="N15" s="461">
        <v>912757.03</v>
      </c>
      <c r="O15" s="461">
        <v>912757.03</v>
      </c>
      <c r="P15" s="461">
        <v>912757.03</v>
      </c>
      <c r="Q15" s="461">
        <v>912757.03</v>
      </c>
      <c r="R15" s="461">
        <v>912757.03</v>
      </c>
      <c r="S15" s="461">
        <v>912757.03</v>
      </c>
      <c r="T15" s="461">
        <v>912757.03</v>
      </c>
      <c r="U15" s="461">
        <v>912757.03</v>
      </c>
      <c r="V15" s="461">
        <v>912757.03</v>
      </c>
    </row>
    <row r="16" spans="1:22" s="455" customFormat="1" ht="12.75" hidden="1" customHeight="1">
      <c r="A16" s="455" t="str">
        <f t="shared" si="0"/>
        <v>60001405010000</v>
      </c>
      <c r="B16" s="455" t="str">
        <f>VLOOKUP(LEFT($C$3:$C$2600,3),Table!$N$2:$O$88,2,FALSE)</f>
        <v>Inventories</v>
      </c>
      <c r="C16" s="535" t="str">
        <f t="shared" si="1"/>
        <v>1405010000</v>
      </c>
      <c r="D16" s="455" t="e">
        <f>VLOOKUP(G16,Table!$Q$3:$R$21,2,FALSE)</f>
        <v>#N/A</v>
      </c>
      <c r="E16" s="452" t="s">
        <v>840</v>
      </c>
      <c r="F16" s="452" t="s">
        <v>2102</v>
      </c>
      <c r="G16" s="452" t="s">
        <v>2112</v>
      </c>
      <c r="H16" s="452" t="s">
        <v>269</v>
      </c>
      <c r="I16" s="453" t="s">
        <v>842</v>
      </c>
      <c r="J16" s="453">
        <v>907123.13</v>
      </c>
      <c r="K16" s="461">
        <v>830235.4</v>
      </c>
      <c r="L16" s="461">
        <v>945456.93</v>
      </c>
      <c r="M16" s="461">
        <v>1016709.4</v>
      </c>
      <c r="N16" s="461">
        <v>1016709.4</v>
      </c>
      <c r="O16" s="461">
        <v>1016709.4</v>
      </c>
      <c r="P16" s="461">
        <v>1016709.4</v>
      </c>
      <c r="Q16" s="461">
        <v>1016709.4</v>
      </c>
      <c r="R16" s="461">
        <v>1016709.4</v>
      </c>
      <c r="S16" s="461">
        <v>1016709.4</v>
      </c>
      <c r="T16" s="461">
        <v>1016709.4</v>
      </c>
      <c r="U16" s="461">
        <v>1016709.4</v>
      </c>
      <c r="V16" s="461">
        <v>1016709.4</v>
      </c>
    </row>
    <row r="17" spans="1:22" s="455" customFormat="1" ht="12.75" hidden="1" customHeight="1">
      <c r="A17" s="455" t="str">
        <f t="shared" si="0"/>
        <v>60001409000000</v>
      </c>
      <c r="B17" s="455" t="str">
        <f>VLOOKUP(LEFT($C$3:$C$2600,3),Table!$N$2:$O$88,2,FALSE)</f>
        <v>Inventories</v>
      </c>
      <c r="C17" s="535" t="str">
        <f t="shared" si="1"/>
        <v>1409000000</v>
      </c>
      <c r="D17" s="455" t="e">
        <f>VLOOKUP(G17,Table!$Q$3:$R$21,2,FALSE)</f>
        <v>#N/A</v>
      </c>
      <c r="E17" s="452" t="s">
        <v>840</v>
      </c>
      <c r="F17" s="452" t="s">
        <v>2102</v>
      </c>
      <c r="G17" s="452" t="s">
        <v>2113</v>
      </c>
      <c r="H17" s="452" t="s">
        <v>721</v>
      </c>
      <c r="I17" s="453" t="s">
        <v>842</v>
      </c>
      <c r="J17" s="453">
        <v>-60000</v>
      </c>
      <c r="K17" s="461">
        <v>-60000</v>
      </c>
      <c r="L17" s="461">
        <v>-29000</v>
      </c>
      <c r="M17" s="461">
        <v>-29000</v>
      </c>
      <c r="N17" s="461">
        <v>-29000</v>
      </c>
      <c r="O17" s="461">
        <v>-29000</v>
      </c>
      <c r="P17" s="461">
        <v>-29000</v>
      </c>
      <c r="Q17" s="461">
        <v>-29000</v>
      </c>
      <c r="R17" s="461">
        <v>-29000</v>
      </c>
      <c r="S17" s="461">
        <v>-29000</v>
      </c>
      <c r="T17" s="461">
        <v>-29000</v>
      </c>
      <c r="U17" s="461">
        <v>-29000</v>
      </c>
      <c r="V17" s="461">
        <v>-29000</v>
      </c>
    </row>
    <row r="18" spans="1:22" s="455" customFormat="1" ht="12.75" hidden="1" customHeight="1">
      <c r="A18" s="455" t="str">
        <f t="shared" si="0"/>
        <v>60001409100000</v>
      </c>
      <c r="B18" s="455" t="str">
        <f>VLOOKUP(LEFT($C$3:$C$2600,3),Table!$N$2:$O$88,2,FALSE)</f>
        <v>Inventories</v>
      </c>
      <c r="C18" s="535" t="str">
        <f t="shared" si="1"/>
        <v>1409100000</v>
      </c>
      <c r="D18" s="455" t="e">
        <f>VLOOKUP(G18,Table!$Q$3:$R$21,2,FALSE)</f>
        <v>#N/A</v>
      </c>
      <c r="E18" s="452" t="s">
        <v>840</v>
      </c>
      <c r="F18" s="452" t="s">
        <v>2102</v>
      </c>
      <c r="G18" s="452" t="s">
        <v>2114</v>
      </c>
      <c r="H18" s="452" t="s">
        <v>722</v>
      </c>
      <c r="I18" s="453" t="s">
        <v>842</v>
      </c>
      <c r="J18" s="453">
        <v>-15000</v>
      </c>
      <c r="K18" s="461">
        <v>-15000</v>
      </c>
      <c r="L18" s="461">
        <v>-58000</v>
      </c>
      <c r="M18" s="461">
        <v>-58000</v>
      </c>
      <c r="N18" s="461">
        <v>-58000</v>
      </c>
      <c r="O18" s="461">
        <v>-58000</v>
      </c>
      <c r="P18" s="461">
        <v>-58000</v>
      </c>
      <c r="Q18" s="461">
        <v>-58000</v>
      </c>
      <c r="R18" s="461">
        <v>-58000</v>
      </c>
      <c r="S18" s="461">
        <v>-58000</v>
      </c>
      <c r="T18" s="461">
        <v>-58000</v>
      </c>
      <c r="U18" s="461">
        <v>-58000</v>
      </c>
      <c r="V18" s="461">
        <v>-58000</v>
      </c>
    </row>
    <row r="19" spans="1:22" s="455" customFormat="1" ht="12.75" hidden="1" customHeight="1">
      <c r="A19" s="455" t="str">
        <f t="shared" si="0"/>
        <v>60001409200000</v>
      </c>
      <c r="B19" s="455" t="str">
        <f>VLOOKUP(LEFT($C$3:$C$2600,3),Table!$N$2:$O$88,2,FALSE)</f>
        <v>Inventories</v>
      </c>
      <c r="C19" s="535" t="str">
        <f t="shared" si="1"/>
        <v>1409200000</v>
      </c>
      <c r="D19" s="455" t="e">
        <f>VLOOKUP(G19,Table!$Q$3:$R$21,2,FALSE)</f>
        <v>#N/A</v>
      </c>
      <c r="E19" s="452" t="s">
        <v>840</v>
      </c>
      <c r="F19" s="452" t="s">
        <v>2102</v>
      </c>
      <c r="G19" s="452" t="s">
        <v>2115</v>
      </c>
      <c r="H19" s="452" t="s">
        <v>2116</v>
      </c>
      <c r="I19" s="453" t="s">
        <v>842</v>
      </c>
      <c r="J19" s="453">
        <v>-188549</v>
      </c>
      <c r="K19" s="461">
        <v>-188549</v>
      </c>
      <c r="L19" s="461">
        <v>-206549</v>
      </c>
      <c r="M19" s="461">
        <v>-206549</v>
      </c>
      <c r="N19" s="461">
        <v>-206549</v>
      </c>
      <c r="O19" s="461">
        <v>-206549</v>
      </c>
      <c r="P19" s="461">
        <v>-206549</v>
      </c>
      <c r="Q19" s="461">
        <v>-206549</v>
      </c>
      <c r="R19" s="461">
        <v>-206549</v>
      </c>
      <c r="S19" s="461">
        <v>-206549</v>
      </c>
      <c r="T19" s="461">
        <v>-206549</v>
      </c>
      <c r="U19" s="461">
        <v>-206549</v>
      </c>
      <c r="V19" s="461">
        <v>-206549</v>
      </c>
    </row>
    <row r="20" spans="1:22" s="455" customFormat="1" ht="12.75" hidden="1" customHeight="1">
      <c r="A20" s="455" t="str">
        <f t="shared" si="0"/>
        <v>60001410000000</v>
      </c>
      <c r="B20" s="455" t="str">
        <f>VLOOKUP(LEFT($C$3:$C$2600,3),Table!$N$2:$O$88,2,FALSE)</f>
        <v>Cash and Time deposit</v>
      </c>
      <c r="C20" s="535" t="str">
        <f t="shared" si="1"/>
        <v>1410000000</v>
      </c>
      <c r="D20" s="455" t="e">
        <f>VLOOKUP(G20,Table!$Q$3:$R$21,2,FALSE)</f>
        <v>#N/A</v>
      </c>
      <c r="E20" s="452" t="s">
        <v>840</v>
      </c>
      <c r="F20" s="452" t="s">
        <v>2102</v>
      </c>
      <c r="G20" s="452" t="s">
        <v>2117</v>
      </c>
      <c r="H20" s="452" t="s">
        <v>254</v>
      </c>
      <c r="I20" s="453" t="s">
        <v>842</v>
      </c>
      <c r="J20" s="453">
        <v>25993965.68</v>
      </c>
      <c r="K20" s="461">
        <v>23167000</v>
      </c>
      <c r="L20" s="461">
        <v>24335000</v>
      </c>
      <c r="M20" s="461">
        <v>26094376.960000001</v>
      </c>
      <c r="N20" s="461">
        <v>26094376.960000001</v>
      </c>
      <c r="O20" s="461">
        <v>26094376.960000001</v>
      </c>
      <c r="P20" s="461">
        <v>26094376.960000001</v>
      </c>
      <c r="Q20" s="461">
        <v>26094376.960000001</v>
      </c>
      <c r="R20" s="461">
        <v>26094376.960000001</v>
      </c>
      <c r="S20" s="461">
        <v>26094376.960000001</v>
      </c>
      <c r="T20" s="461">
        <v>26094376.960000001</v>
      </c>
      <c r="U20" s="461">
        <v>26094376.960000001</v>
      </c>
      <c r="V20" s="461">
        <v>26094376.960000001</v>
      </c>
    </row>
    <row r="21" spans="1:22" s="455" customFormat="1" ht="12.75" hidden="1" customHeight="1">
      <c r="A21" s="455" t="str">
        <f t="shared" si="0"/>
        <v>60001411000000</v>
      </c>
      <c r="B21" s="455" t="str">
        <f>VLOOKUP(LEFT($C$3:$C$2600,3),Table!$N$2:$O$88,2,FALSE)</f>
        <v>Cash and Time deposit</v>
      </c>
      <c r="C21" s="535" t="str">
        <f t="shared" si="1"/>
        <v>1411000000</v>
      </c>
      <c r="D21" s="455" t="e">
        <f>VLOOKUP(G21,Table!$Q$3:$R$21,2,FALSE)</f>
        <v>#N/A</v>
      </c>
      <c r="E21" s="452" t="s">
        <v>840</v>
      </c>
      <c r="F21" s="452" t="s">
        <v>2102</v>
      </c>
      <c r="G21" s="452" t="s">
        <v>2118</v>
      </c>
      <c r="H21" s="452" t="s">
        <v>8</v>
      </c>
      <c r="I21" s="453" t="s">
        <v>842</v>
      </c>
      <c r="J21" s="453">
        <v>3000</v>
      </c>
      <c r="K21" s="461">
        <v>2906.55</v>
      </c>
      <c r="L21" s="461">
        <v>2710.8</v>
      </c>
      <c r="M21" s="461">
        <v>2847.5</v>
      </c>
      <c r="N21" s="461">
        <v>2847.5</v>
      </c>
      <c r="O21" s="461">
        <v>2847.5</v>
      </c>
      <c r="P21" s="461">
        <v>2847.5</v>
      </c>
      <c r="Q21" s="461">
        <v>2847.5</v>
      </c>
      <c r="R21" s="461">
        <v>2847.5</v>
      </c>
      <c r="S21" s="461">
        <v>2847.5</v>
      </c>
      <c r="T21" s="461">
        <v>2847.5</v>
      </c>
      <c r="U21" s="461">
        <v>2847.5</v>
      </c>
      <c r="V21" s="461">
        <v>2847.5</v>
      </c>
    </row>
    <row r="22" spans="1:22" s="455" customFormat="1" ht="12.75" hidden="1" customHeight="1">
      <c r="A22" s="455" t="str">
        <f t="shared" si="0"/>
        <v>60001421000000</v>
      </c>
      <c r="B22" s="455" t="str">
        <f>VLOOKUP(LEFT($C$3:$C$2600,3),Table!$N$2:$O$88,2,FALSE)</f>
        <v>Accounts receivable - third parties</v>
      </c>
      <c r="C22" s="535" t="str">
        <f t="shared" si="1"/>
        <v>1421000000</v>
      </c>
      <c r="D22" s="455" t="e">
        <f>VLOOKUP(G22,Table!$Q$3:$R$21,2,FALSE)</f>
        <v>#N/A</v>
      </c>
      <c r="E22" s="452" t="s">
        <v>840</v>
      </c>
      <c r="F22" s="452" t="s">
        <v>2102</v>
      </c>
      <c r="G22" s="452" t="s">
        <v>2119</v>
      </c>
      <c r="H22" s="452" t="s">
        <v>2120</v>
      </c>
      <c r="I22" s="453" t="s">
        <v>842</v>
      </c>
      <c r="J22" s="453">
        <v>15163309.810000001</v>
      </c>
      <c r="K22" s="461">
        <v>19464309.010000002</v>
      </c>
      <c r="L22" s="461">
        <v>18679633.530000001</v>
      </c>
      <c r="M22" s="461">
        <v>16013521.16</v>
      </c>
      <c r="N22" s="461">
        <v>16129244.91</v>
      </c>
      <c r="O22" s="461">
        <v>16129244.91</v>
      </c>
      <c r="P22" s="461">
        <v>16129244.91</v>
      </c>
      <c r="Q22" s="461">
        <v>16129244.91</v>
      </c>
      <c r="R22" s="461">
        <v>16129244.91</v>
      </c>
      <c r="S22" s="461">
        <v>16129244.91</v>
      </c>
      <c r="T22" s="461">
        <v>16129244.91</v>
      </c>
      <c r="U22" s="461">
        <v>16129244.91</v>
      </c>
      <c r="V22" s="461">
        <v>16129244.91</v>
      </c>
    </row>
    <row r="23" spans="1:22" s="455" customFormat="1" ht="12.75" hidden="1" customHeight="1">
      <c r="A23" s="455" t="str">
        <f t="shared" si="0"/>
        <v>60001422200000</v>
      </c>
      <c r="B23" s="455" t="str">
        <f>VLOOKUP(LEFT($C$3:$C$2600,3),Table!$N$2:$O$88,2,FALSE)</f>
        <v>Accounts payable - ALCOM</v>
      </c>
      <c r="C23" s="535" t="str">
        <f t="shared" si="1"/>
        <v>003</v>
      </c>
      <c r="D23" s="455" t="str">
        <f>VLOOKUP(G23,Table!$Q$3:$R$21,2,FALSE)</f>
        <v>003</v>
      </c>
      <c r="E23" s="452" t="s">
        <v>840</v>
      </c>
      <c r="F23" s="452" t="s">
        <v>2102</v>
      </c>
      <c r="G23" s="452" t="s">
        <v>2121</v>
      </c>
      <c r="H23" s="452" t="s">
        <v>293</v>
      </c>
      <c r="I23" s="453" t="s">
        <v>842</v>
      </c>
      <c r="J23" s="453">
        <v>1199634.0900000001</v>
      </c>
      <c r="K23" s="461">
        <v>1047286.3</v>
      </c>
      <c r="L23" s="461">
        <v>1304233.8</v>
      </c>
      <c r="M23" s="461">
        <v>1161711.3799999999</v>
      </c>
      <c r="N23" s="461">
        <v>1161711.3799999999</v>
      </c>
      <c r="O23" s="461">
        <v>1161711.3799999999</v>
      </c>
      <c r="P23" s="461">
        <v>1161711.3799999999</v>
      </c>
      <c r="Q23" s="461">
        <v>1161711.3799999999</v>
      </c>
      <c r="R23" s="461">
        <v>1161711.3799999999</v>
      </c>
      <c r="S23" s="461">
        <v>1161711.3799999999</v>
      </c>
      <c r="T23" s="461">
        <v>1161711.3799999999</v>
      </c>
      <c r="U23" s="461">
        <v>1161711.3799999999</v>
      </c>
      <c r="V23" s="461">
        <v>1161711.3799999999</v>
      </c>
    </row>
    <row r="24" spans="1:22" s="455" customFormat="1" ht="12.75" hidden="1" customHeight="1">
      <c r="A24" s="455" t="str">
        <f t="shared" si="0"/>
        <v>60001424000000</v>
      </c>
      <c r="B24" s="455" t="str">
        <f>VLOOKUP(LEFT($C$3:$C$2600,3),Table!$N$2:$O$88,2,FALSE)</f>
        <v>Accounts receivable - third parties</v>
      </c>
      <c r="C24" s="535" t="str">
        <f t="shared" si="1"/>
        <v>1424000000</v>
      </c>
      <c r="D24" s="455" t="e">
        <f>VLOOKUP(G24,Table!$Q$3:$R$21,2,FALSE)</f>
        <v>#N/A</v>
      </c>
      <c r="E24" s="452" t="s">
        <v>840</v>
      </c>
      <c r="F24" s="452" t="s">
        <v>2102</v>
      </c>
      <c r="G24" s="452" t="s">
        <v>2122</v>
      </c>
      <c r="H24" s="452" t="s">
        <v>2123</v>
      </c>
      <c r="I24" s="453" t="s">
        <v>842</v>
      </c>
      <c r="J24" s="453">
        <v>0</v>
      </c>
      <c r="K24" s="461">
        <v>0</v>
      </c>
      <c r="L24" s="461">
        <v>24034.61</v>
      </c>
      <c r="M24" s="461">
        <v>0</v>
      </c>
      <c r="N24" s="461">
        <v>0</v>
      </c>
      <c r="O24" s="461">
        <v>0</v>
      </c>
      <c r="P24" s="461">
        <v>0</v>
      </c>
      <c r="Q24" s="461">
        <v>0</v>
      </c>
      <c r="R24" s="461">
        <v>0</v>
      </c>
      <c r="S24" s="461">
        <v>0</v>
      </c>
      <c r="T24" s="461">
        <v>0</v>
      </c>
      <c r="U24" s="461">
        <v>0</v>
      </c>
      <c r="V24" s="461">
        <v>0</v>
      </c>
    </row>
    <row r="25" spans="1:22" s="455" customFormat="1" ht="12.75" hidden="1" customHeight="1">
      <c r="A25" s="455" t="str">
        <f t="shared" si="0"/>
        <v>60001441000000</v>
      </c>
      <c r="B25" s="455" t="str">
        <f>VLOOKUP(LEFT($C$3:$C$2600,3),Table!$N$2:$O$88,2,FALSE)</f>
        <v>Other assets</v>
      </c>
      <c r="C25" s="535" t="str">
        <f t="shared" si="1"/>
        <v>1441000000</v>
      </c>
      <c r="D25" s="455" t="e">
        <f>VLOOKUP(G25,Table!$Q$3:$R$21,2,FALSE)</f>
        <v>#N/A</v>
      </c>
      <c r="E25" s="452" t="s">
        <v>840</v>
      </c>
      <c r="F25" s="452" t="s">
        <v>2102</v>
      </c>
      <c r="G25" s="452" t="s">
        <v>2025</v>
      </c>
      <c r="H25" s="452" t="s">
        <v>298</v>
      </c>
      <c r="I25" s="453" t="s">
        <v>842</v>
      </c>
      <c r="J25" s="453">
        <v>6289.15</v>
      </c>
      <c r="K25" s="461">
        <v>103074.51</v>
      </c>
      <c r="L25" s="461">
        <v>93824.51</v>
      </c>
      <c r="M25" s="461">
        <v>84574.51</v>
      </c>
      <c r="N25" s="461">
        <v>84574.51</v>
      </c>
      <c r="O25" s="461">
        <v>84574.51</v>
      </c>
      <c r="P25" s="461">
        <v>84574.51</v>
      </c>
      <c r="Q25" s="461">
        <v>84574.51</v>
      </c>
      <c r="R25" s="461">
        <v>84574.51</v>
      </c>
      <c r="S25" s="461">
        <v>84574.51</v>
      </c>
      <c r="T25" s="461">
        <v>84574.51</v>
      </c>
      <c r="U25" s="461">
        <v>84574.51</v>
      </c>
      <c r="V25" s="461">
        <v>84574.51</v>
      </c>
    </row>
    <row r="26" spans="1:22" s="455" customFormat="1" ht="12.75" hidden="1" customHeight="1">
      <c r="A26" s="455" t="str">
        <f t="shared" si="0"/>
        <v>60001441100000</v>
      </c>
      <c r="B26" s="455" t="str">
        <f>VLOOKUP(LEFT($C$3:$C$2600,3),Table!$N$2:$O$88,2,FALSE)</f>
        <v>Other assets</v>
      </c>
      <c r="C26" s="535" t="str">
        <f t="shared" si="1"/>
        <v>1441100000</v>
      </c>
      <c r="D26" s="455" t="e">
        <f>VLOOKUP(G26,Table!$Q$3:$R$21,2,FALSE)</f>
        <v>#N/A</v>
      </c>
      <c r="E26" s="452" t="s">
        <v>840</v>
      </c>
      <c r="F26" s="452" t="s">
        <v>2102</v>
      </c>
      <c r="G26" s="452" t="s">
        <v>2124</v>
      </c>
      <c r="H26" s="452" t="s">
        <v>300</v>
      </c>
      <c r="I26" s="453" t="s">
        <v>842</v>
      </c>
      <c r="J26" s="453">
        <v>1687.15</v>
      </c>
      <c r="K26" s="461">
        <v>3237.03</v>
      </c>
      <c r="L26" s="461">
        <v>10602.86</v>
      </c>
      <c r="M26" s="461">
        <v>1491.04</v>
      </c>
      <c r="N26" s="461">
        <v>0</v>
      </c>
      <c r="O26" s="461">
        <v>0</v>
      </c>
      <c r="P26" s="461">
        <v>0</v>
      </c>
      <c r="Q26" s="461">
        <v>0</v>
      </c>
      <c r="R26" s="461">
        <v>0</v>
      </c>
      <c r="S26" s="461">
        <v>0</v>
      </c>
      <c r="T26" s="461">
        <v>0</v>
      </c>
      <c r="U26" s="461">
        <v>0</v>
      </c>
      <c r="V26" s="461">
        <v>0</v>
      </c>
    </row>
    <row r="27" spans="1:22" s="455" customFormat="1" ht="12.75" hidden="1" customHeight="1">
      <c r="A27" s="455" t="str">
        <f t="shared" si="0"/>
        <v>60001460000000</v>
      </c>
      <c r="B27" s="455" t="str">
        <f>VLOOKUP(LEFT($C$3:$C$2600,3),Table!$N$2:$O$88,2,FALSE)</f>
        <v>Other assets</v>
      </c>
      <c r="C27" s="535" t="str">
        <f t="shared" si="1"/>
        <v>1460000000</v>
      </c>
      <c r="D27" s="455" t="e">
        <f>VLOOKUP(G27,Table!$Q$3:$R$21,2,FALSE)</f>
        <v>#N/A</v>
      </c>
      <c r="E27" s="452" t="s">
        <v>840</v>
      </c>
      <c r="F27" s="452" t="s">
        <v>2102</v>
      </c>
      <c r="G27" s="452" t="s">
        <v>2029</v>
      </c>
      <c r="H27" s="452" t="s">
        <v>2030</v>
      </c>
      <c r="I27" s="453" t="s">
        <v>842</v>
      </c>
      <c r="J27" s="453">
        <v>131212</v>
      </c>
      <c r="K27" s="461">
        <v>485057</v>
      </c>
      <c r="L27" s="461">
        <v>-17946</v>
      </c>
      <c r="M27" s="461">
        <v>-140926</v>
      </c>
      <c r="N27" s="461">
        <v>0</v>
      </c>
      <c r="O27" s="461">
        <v>0</v>
      </c>
      <c r="P27" s="461">
        <v>0</v>
      </c>
      <c r="Q27" s="461">
        <v>0</v>
      </c>
      <c r="R27" s="461">
        <v>0</v>
      </c>
      <c r="S27" s="461">
        <v>0</v>
      </c>
      <c r="T27" s="461">
        <v>0</v>
      </c>
      <c r="U27" s="461">
        <v>0</v>
      </c>
      <c r="V27" s="461">
        <v>0</v>
      </c>
    </row>
    <row r="28" spans="1:22" s="455" customFormat="1" ht="12.75" hidden="1" customHeight="1">
      <c r="A28" s="455" t="str">
        <f t="shared" si="0"/>
        <v>60002001000001</v>
      </c>
      <c r="B28" s="455" t="str">
        <f>VLOOKUP(LEFT($C$3:$C$2600,3),Table!$N$2:$O$88,2,FALSE)</f>
        <v>Accounts payable</v>
      </c>
      <c r="C28" s="535" t="str">
        <f t="shared" si="1"/>
        <v>2001000001</v>
      </c>
      <c r="D28" s="455" t="e">
        <f>VLOOKUP(G28,Table!$Q$3:$R$21,2,FALSE)</f>
        <v>#N/A</v>
      </c>
      <c r="E28" s="452" t="s">
        <v>840</v>
      </c>
      <c r="F28" s="452" t="s">
        <v>2102</v>
      </c>
      <c r="G28" s="452" t="s">
        <v>2033</v>
      </c>
      <c r="H28" s="452" t="s">
        <v>274</v>
      </c>
      <c r="I28" s="453" t="s">
        <v>842</v>
      </c>
      <c r="J28" s="453">
        <v>-1881569.2</v>
      </c>
      <c r="K28" s="461">
        <v>-1642479.26</v>
      </c>
      <c r="L28" s="461">
        <v>-1293160.71</v>
      </c>
      <c r="M28" s="461">
        <v>-1539684.93</v>
      </c>
      <c r="N28" s="461">
        <v>-1560236.6</v>
      </c>
      <c r="O28" s="461">
        <v>-1560236.6</v>
      </c>
      <c r="P28" s="461">
        <v>-1560236.6</v>
      </c>
      <c r="Q28" s="461">
        <v>-1560236.6</v>
      </c>
      <c r="R28" s="461">
        <v>-1560236.6</v>
      </c>
      <c r="S28" s="461">
        <v>-1560236.6</v>
      </c>
      <c r="T28" s="461">
        <v>-1560236.6</v>
      </c>
      <c r="U28" s="461">
        <v>-1560236.6</v>
      </c>
      <c r="V28" s="461">
        <v>-1560236.6</v>
      </c>
    </row>
    <row r="29" spans="1:22" s="455" customFormat="1" ht="12.75" hidden="1" customHeight="1">
      <c r="A29" s="455" t="str">
        <f t="shared" si="0"/>
        <v>60002001000002</v>
      </c>
      <c r="B29" s="455" t="str">
        <f>VLOOKUP(LEFT($C$3:$C$2600,3),Table!$N$2:$O$88,2,FALSE)</f>
        <v>Accounts payable</v>
      </c>
      <c r="C29" s="535" t="str">
        <f t="shared" si="1"/>
        <v>2001000002</v>
      </c>
      <c r="D29" s="455" t="e">
        <f>VLOOKUP(G29,Table!$Q$3:$R$21,2,FALSE)</f>
        <v>#N/A</v>
      </c>
      <c r="E29" s="452" t="s">
        <v>840</v>
      </c>
      <c r="F29" s="452" t="s">
        <v>2102</v>
      </c>
      <c r="G29" s="452" t="s">
        <v>2034</v>
      </c>
      <c r="H29" s="452" t="s">
        <v>275</v>
      </c>
      <c r="I29" s="453" t="s">
        <v>842</v>
      </c>
      <c r="J29" s="453">
        <v>-308058.11</v>
      </c>
      <c r="K29" s="461">
        <v>-223715.09</v>
      </c>
      <c r="L29" s="461">
        <v>-193600.12</v>
      </c>
      <c r="M29" s="461">
        <v>-484933.13</v>
      </c>
      <c r="N29" s="461">
        <v>-487444.32</v>
      </c>
      <c r="O29" s="461">
        <v>-487444.32</v>
      </c>
      <c r="P29" s="461">
        <v>-487444.32</v>
      </c>
      <c r="Q29" s="461">
        <v>-487444.32</v>
      </c>
      <c r="R29" s="461">
        <v>-487444.32</v>
      </c>
      <c r="S29" s="461">
        <v>-487444.32</v>
      </c>
      <c r="T29" s="461">
        <v>-487444.32</v>
      </c>
      <c r="U29" s="461">
        <v>-487444.32</v>
      </c>
      <c r="V29" s="461">
        <v>-487444.32</v>
      </c>
    </row>
    <row r="30" spans="1:22" s="455" customFormat="1" ht="12.75" hidden="1" customHeight="1">
      <c r="A30" s="455" t="str">
        <f t="shared" si="0"/>
        <v>60002001900000</v>
      </c>
      <c r="B30" s="455" t="str">
        <f>VLOOKUP(LEFT($C$3:$C$2600,3),Table!$N$2:$O$88,2,FALSE)</f>
        <v>Accounts payable</v>
      </c>
      <c r="C30" s="535" t="str">
        <f t="shared" si="1"/>
        <v>2001900000</v>
      </c>
      <c r="D30" s="455" t="e">
        <f>VLOOKUP(G30,Table!$Q$3:$R$21,2,FALSE)</f>
        <v>#N/A</v>
      </c>
      <c r="E30" s="452" t="s">
        <v>840</v>
      </c>
      <c r="F30" s="452" t="s">
        <v>2102</v>
      </c>
      <c r="G30" s="452" t="s">
        <v>2036</v>
      </c>
      <c r="H30" s="452" t="s">
        <v>571</v>
      </c>
      <c r="I30" s="453" t="s">
        <v>842</v>
      </c>
      <c r="J30" s="453">
        <v>5123.2</v>
      </c>
      <c r="K30" s="461">
        <v>4000</v>
      </c>
      <c r="L30" s="461">
        <v>4000</v>
      </c>
      <c r="M30" s="461">
        <v>5500</v>
      </c>
      <c r="N30" s="461">
        <v>19483.62</v>
      </c>
      <c r="O30" s="461">
        <v>19483.62</v>
      </c>
      <c r="P30" s="461">
        <v>19483.62</v>
      </c>
      <c r="Q30" s="461">
        <v>19483.62</v>
      </c>
      <c r="R30" s="461">
        <v>19483.62</v>
      </c>
      <c r="S30" s="461">
        <v>19483.62</v>
      </c>
      <c r="T30" s="461">
        <v>19483.62</v>
      </c>
      <c r="U30" s="461">
        <v>19483.62</v>
      </c>
      <c r="V30" s="461">
        <v>19483.62</v>
      </c>
    </row>
    <row r="31" spans="1:22" s="455" customFormat="1" ht="12.75" hidden="1" customHeight="1">
      <c r="A31" s="455" t="str">
        <f t="shared" si="0"/>
        <v>60002002200000</v>
      </c>
      <c r="B31" s="455" t="str">
        <f>VLOOKUP(LEFT($C$3:$C$2600,3),Table!$N$2:$O$88,2,FALSE)</f>
        <v>Accounts payable - ALCOM</v>
      </c>
      <c r="C31" s="535" t="str">
        <f t="shared" si="1"/>
        <v>003</v>
      </c>
      <c r="D31" s="455" t="str">
        <f>VLOOKUP(G31,Table!$Q$3:$R$21,2,FALSE)</f>
        <v>003</v>
      </c>
      <c r="E31" s="452" t="s">
        <v>840</v>
      </c>
      <c r="F31" s="452" t="s">
        <v>2102</v>
      </c>
      <c r="G31" s="452" t="s">
        <v>2125</v>
      </c>
      <c r="H31" s="452" t="s">
        <v>288</v>
      </c>
      <c r="I31" s="453" t="s">
        <v>842</v>
      </c>
      <c r="J31" s="453">
        <v>-21335686.010000002</v>
      </c>
      <c r="K31" s="461">
        <v>-24609875.379999999</v>
      </c>
      <c r="L31" s="461">
        <v>-23652037.609999999</v>
      </c>
      <c r="M31" s="461">
        <v>-22942418.579999998</v>
      </c>
      <c r="N31" s="461">
        <v>-22942418.579999998</v>
      </c>
      <c r="O31" s="461">
        <v>-22942418.579999998</v>
      </c>
      <c r="P31" s="461">
        <v>-22942418.579999998</v>
      </c>
      <c r="Q31" s="461">
        <v>-22942418.579999998</v>
      </c>
      <c r="R31" s="461">
        <v>-22942418.579999998</v>
      </c>
      <c r="S31" s="461">
        <v>-22942418.579999998</v>
      </c>
      <c r="T31" s="461">
        <v>-22942418.579999998</v>
      </c>
      <c r="U31" s="461">
        <v>-22942418.579999998</v>
      </c>
      <c r="V31" s="461">
        <v>-22942418.579999998</v>
      </c>
    </row>
    <row r="32" spans="1:22" s="455" customFormat="1" ht="12.75" hidden="1" customHeight="1">
      <c r="A32" s="455" t="str">
        <f t="shared" si="0"/>
        <v>60002002201000</v>
      </c>
      <c r="B32" s="455" t="str">
        <f>VLOOKUP(LEFT($C$3:$C$2600,3),Table!$N$2:$O$88,2,FALSE)</f>
        <v>Accounts payable - ALCOM</v>
      </c>
      <c r="C32" s="535" t="str">
        <f t="shared" si="1"/>
        <v>003</v>
      </c>
      <c r="D32" s="455" t="str">
        <f>VLOOKUP(G32,Table!$Q$3:$R$21,2,FALSE)</f>
        <v>003</v>
      </c>
      <c r="E32" s="452" t="s">
        <v>840</v>
      </c>
      <c r="F32" s="452" t="s">
        <v>2102</v>
      </c>
      <c r="G32" s="452" t="s">
        <v>2126</v>
      </c>
      <c r="H32" s="452" t="s">
        <v>290</v>
      </c>
      <c r="I32" s="453" t="s">
        <v>842</v>
      </c>
      <c r="J32" s="453">
        <v>-403509.57</v>
      </c>
      <c r="K32" s="461">
        <v>-430763.43</v>
      </c>
      <c r="L32" s="461">
        <v>-336177.72</v>
      </c>
      <c r="M32" s="461">
        <v>-353370.63</v>
      </c>
      <c r="N32" s="461">
        <v>-353370.63</v>
      </c>
      <c r="O32" s="461">
        <v>-353370.63</v>
      </c>
      <c r="P32" s="461">
        <v>-353370.63</v>
      </c>
      <c r="Q32" s="461">
        <v>-353370.63</v>
      </c>
      <c r="R32" s="461">
        <v>-353370.63</v>
      </c>
      <c r="S32" s="461">
        <v>-353370.63</v>
      </c>
      <c r="T32" s="461">
        <v>-353370.63</v>
      </c>
      <c r="U32" s="461">
        <v>-353370.63</v>
      </c>
      <c r="V32" s="461">
        <v>-353370.63</v>
      </c>
    </row>
    <row r="33" spans="1:22" s="455" customFormat="1" ht="12.75" hidden="1" customHeight="1">
      <c r="A33" s="455" t="str">
        <f t="shared" si="0"/>
        <v>60002002203000</v>
      </c>
      <c r="B33" s="455" t="str">
        <f>VLOOKUP(LEFT($C$3:$C$2600,3),Table!$N$2:$O$88,2,FALSE)</f>
        <v>Accounts payable</v>
      </c>
      <c r="C33" s="535" t="str">
        <f t="shared" si="1"/>
        <v>2002203000</v>
      </c>
      <c r="D33" s="455" t="e">
        <f>VLOOKUP(G33,Table!$Q$3:$R$21,2,FALSE)</f>
        <v>#N/A</v>
      </c>
      <c r="E33" s="452" t="s">
        <v>840</v>
      </c>
      <c r="F33" s="452" t="s">
        <v>2102</v>
      </c>
      <c r="G33" s="452" t="s">
        <v>2594</v>
      </c>
      <c r="H33" s="452" t="s">
        <v>271</v>
      </c>
      <c r="I33" s="453" t="s">
        <v>842</v>
      </c>
      <c r="J33" s="453">
        <v>0</v>
      </c>
      <c r="K33" s="461">
        <v>-50</v>
      </c>
      <c r="L33" s="461">
        <v>0</v>
      </c>
      <c r="M33" s="461">
        <v>0</v>
      </c>
      <c r="N33" s="461">
        <v>0</v>
      </c>
      <c r="O33" s="461">
        <v>0</v>
      </c>
      <c r="P33" s="461">
        <v>0</v>
      </c>
      <c r="Q33" s="461">
        <v>0</v>
      </c>
      <c r="R33" s="461">
        <v>0</v>
      </c>
      <c r="S33" s="461">
        <v>0</v>
      </c>
      <c r="T33" s="461">
        <v>0</v>
      </c>
      <c r="U33" s="461">
        <v>0</v>
      </c>
      <c r="V33" s="461">
        <v>0</v>
      </c>
    </row>
    <row r="34" spans="1:22" s="455" customFormat="1" ht="12.75" hidden="1" customHeight="1">
      <c r="A34" s="455" t="str">
        <f t="shared" si="0"/>
        <v>60002003001100</v>
      </c>
      <c r="B34" s="455" t="str">
        <f>VLOOKUP(LEFT($C$3:$C$2600,3),Table!$N$2:$O$88,2,FALSE)</f>
        <v>Accounts payable</v>
      </c>
      <c r="C34" s="535" t="str">
        <f t="shared" si="1"/>
        <v>2003001100</v>
      </c>
      <c r="D34" s="455" t="e">
        <f>VLOOKUP(G34,Table!$Q$3:$R$21,2,FALSE)</f>
        <v>#N/A</v>
      </c>
      <c r="E34" s="452" t="s">
        <v>840</v>
      </c>
      <c r="F34" s="452" t="s">
        <v>2102</v>
      </c>
      <c r="G34" s="452" t="s">
        <v>2127</v>
      </c>
      <c r="H34" s="452" t="s">
        <v>280</v>
      </c>
      <c r="I34" s="453" t="s">
        <v>842</v>
      </c>
      <c r="J34" s="453">
        <v>-202984.51</v>
      </c>
      <c r="K34" s="461">
        <v>-230242.51</v>
      </c>
      <c r="L34" s="461">
        <v>-257814.51</v>
      </c>
      <c r="M34" s="461">
        <v>-96960.960000000006</v>
      </c>
      <c r="N34" s="461">
        <v>-96960.960000000006</v>
      </c>
      <c r="O34" s="461">
        <v>-96960.960000000006</v>
      </c>
      <c r="P34" s="461">
        <v>-96960.960000000006</v>
      </c>
      <c r="Q34" s="461">
        <v>-96960.960000000006</v>
      </c>
      <c r="R34" s="461">
        <v>-96960.960000000006</v>
      </c>
      <c r="S34" s="461">
        <v>-96960.960000000006</v>
      </c>
      <c r="T34" s="461">
        <v>-96960.960000000006</v>
      </c>
      <c r="U34" s="461">
        <v>-96960.960000000006</v>
      </c>
      <c r="V34" s="461">
        <v>-96960.960000000006</v>
      </c>
    </row>
    <row r="35" spans="1:22" s="455" customFormat="1" ht="12.75" hidden="1" customHeight="1">
      <c r="A35" s="455" t="str">
        <f t="shared" si="0"/>
        <v>60002010500000</v>
      </c>
      <c r="B35" s="455" t="str">
        <f>VLOOKUP(LEFT($C$3:$C$2600,3),Table!$N$2:$O$88,2,FALSE)</f>
        <v>Cash and Time deposit</v>
      </c>
      <c r="C35" s="535" t="str">
        <f t="shared" si="1"/>
        <v>2010500000</v>
      </c>
      <c r="D35" s="455" t="e">
        <f>VLOOKUP(G35,Table!$Q$3:$R$21,2,FALSE)</f>
        <v>#N/A</v>
      </c>
      <c r="E35" s="452" t="s">
        <v>840</v>
      </c>
      <c r="F35" s="452" t="s">
        <v>2102</v>
      </c>
      <c r="G35" s="452" t="s">
        <v>2595</v>
      </c>
      <c r="H35" s="452" t="s">
        <v>2596</v>
      </c>
      <c r="I35" s="453" t="s">
        <v>842</v>
      </c>
      <c r="J35" s="453">
        <v>0</v>
      </c>
      <c r="K35" s="461">
        <v>0</v>
      </c>
      <c r="L35" s="461">
        <v>0</v>
      </c>
      <c r="M35" s="461">
        <v>380.16</v>
      </c>
      <c r="N35" s="461">
        <v>380.16</v>
      </c>
      <c r="O35" s="461">
        <v>380.16</v>
      </c>
      <c r="P35" s="461">
        <v>380.16</v>
      </c>
      <c r="Q35" s="461">
        <v>380.16</v>
      </c>
      <c r="R35" s="461">
        <v>380.16</v>
      </c>
      <c r="S35" s="461">
        <v>380.16</v>
      </c>
      <c r="T35" s="461">
        <v>380.16</v>
      </c>
      <c r="U35" s="461">
        <v>380.16</v>
      </c>
      <c r="V35" s="461">
        <v>380.16</v>
      </c>
    </row>
    <row r="36" spans="1:22" s="455" customFormat="1" ht="12.75" hidden="1" customHeight="1">
      <c r="A36" s="455" t="str">
        <f t="shared" si="0"/>
        <v>60002010510000</v>
      </c>
      <c r="B36" s="455" t="str">
        <f>VLOOKUP(LEFT($C$3:$C$2600,3),Table!$N$2:$O$88,2,FALSE)</f>
        <v>Cash and Time deposit</v>
      </c>
      <c r="C36" s="535" t="str">
        <f t="shared" si="1"/>
        <v>2010510000</v>
      </c>
      <c r="D36" s="455" t="e">
        <f>VLOOKUP(G36,Table!$Q$3:$R$21,2,FALSE)</f>
        <v>#N/A</v>
      </c>
      <c r="E36" s="452" t="s">
        <v>840</v>
      </c>
      <c r="F36" s="452" t="s">
        <v>2102</v>
      </c>
      <c r="G36" s="452" t="s">
        <v>2597</v>
      </c>
      <c r="H36" s="452" t="s">
        <v>2598</v>
      </c>
      <c r="I36" s="453" t="s">
        <v>842</v>
      </c>
      <c r="J36" s="453">
        <v>0</v>
      </c>
      <c r="K36" s="461">
        <v>629734.1</v>
      </c>
      <c r="L36" s="461">
        <v>366.92</v>
      </c>
      <c r="M36" s="461">
        <v>31.75</v>
      </c>
      <c r="N36" s="461">
        <v>31.75</v>
      </c>
      <c r="O36" s="461">
        <v>31.75</v>
      </c>
      <c r="P36" s="461">
        <v>31.75</v>
      </c>
      <c r="Q36" s="461">
        <v>31.75</v>
      </c>
      <c r="R36" s="461">
        <v>31.75</v>
      </c>
      <c r="S36" s="461">
        <v>31.75</v>
      </c>
      <c r="T36" s="461">
        <v>31.75</v>
      </c>
      <c r="U36" s="461">
        <v>31.75</v>
      </c>
      <c r="V36" s="461">
        <v>31.75</v>
      </c>
    </row>
    <row r="37" spans="1:22" s="455" customFormat="1" ht="12.75" hidden="1" customHeight="1">
      <c r="A37" s="455" t="str">
        <f t="shared" si="0"/>
        <v>60002011000000</v>
      </c>
      <c r="B37" s="455" t="str">
        <f>VLOOKUP(LEFT($C$3:$C$2600,3),Table!$N$2:$O$88,2,FALSE)</f>
        <v>Cash and Time deposit</v>
      </c>
      <c r="C37" s="535" t="str">
        <f t="shared" si="1"/>
        <v>2011000000</v>
      </c>
      <c r="D37" s="455" t="e">
        <f>VLOOKUP(G37,Table!$Q$3:$R$21,2,FALSE)</f>
        <v>#N/A</v>
      </c>
      <c r="E37" s="452" t="s">
        <v>840</v>
      </c>
      <c r="F37" s="452" t="s">
        <v>2102</v>
      </c>
      <c r="G37" s="452" t="s">
        <v>2128</v>
      </c>
      <c r="H37" s="452" t="s">
        <v>255</v>
      </c>
      <c r="I37" s="453" t="s">
        <v>842</v>
      </c>
      <c r="J37" s="453">
        <v>1434649.37</v>
      </c>
      <c r="K37" s="461">
        <v>1253605.4099999999</v>
      </c>
      <c r="L37" s="461">
        <v>255319.65</v>
      </c>
      <c r="M37" s="461">
        <v>1035341.49</v>
      </c>
      <c r="N37" s="461">
        <v>1035341.49</v>
      </c>
      <c r="O37" s="461">
        <v>1035341.49</v>
      </c>
      <c r="P37" s="461">
        <v>1035341.49</v>
      </c>
      <c r="Q37" s="461">
        <v>1035341.49</v>
      </c>
      <c r="R37" s="461">
        <v>1035341.49</v>
      </c>
      <c r="S37" s="461">
        <v>1035341.49</v>
      </c>
      <c r="T37" s="461">
        <v>1035341.49</v>
      </c>
      <c r="U37" s="461">
        <v>1035341.49</v>
      </c>
      <c r="V37" s="461">
        <v>1035341.49</v>
      </c>
    </row>
    <row r="38" spans="1:22" s="455" customFormat="1" ht="12.75" hidden="1" customHeight="1">
      <c r="A38" s="455" t="str">
        <f t="shared" si="0"/>
        <v>60002011020000</v>
      </c>
      <c r="B38" s="455" t="str">
        <f>VLOOKUP(LEFT($C$3:$C$2600,3),Table!$N$2:$O$88,2,FALSE)</f>
        <v>Cash and Time deposit</v>
      </c>
      <c r="C38" s="535" t="str">
        <f t="shared" si="1"/>
        <v>2011020000</v>
      </c>
      <c r="D38" s="455" t="e">
        <f>VLOOKUP(G38,Table!$Q$3:$R$21,2,FALSE)</f>
        <v>#N/A</v>
      </c>
      <c r="E38" s="452" t="s">
        <v>840</v>
      </c>
      <c r="F38" s="452" t="s">
        <v>2102</v>
      </c>
      <c r="G38" s="452" t="s">
        <v>2129</v>
      </c>
      <c r="H38" s="452" t="s">
        <v>256</v>
      </c>
      <c r="I38" s="453" t="s">
        <v>842</v>
      </c>
      <c r="J38" s="453">
        <v>0</v>
      </c>
      <c r="K38" s="461">
        <v>0</v>
      </c>
      <c r="L38" s="461">
        <v>752.53</v>
      </c>
      <c r="M38" s="461">
        <v>8.6199999999999992</v>
      </c>
      <c r="N38" s="461">
        <v>8.6199999999999992</v>
      </c>
      <c r="O38" s="461">
        <v>8.6199999999999992</v>
      </c>
      <c r="P38" s="461">
        <v>8.6199999999999992</v>
      </c>
      <c r="Q38" s="461">
        <v>8.6199999999999992</v>
      </c>
      <c r="R38" s="461">
        <v>8.6199999999999992</v>
      </c>
      <c r="S38" s="461">
        <v>8.6199999999999992</v>
      </c>
      <c r="T38" s="461">
        <v>8.6199999999999992</v>
      </c>
      <c r="U38" s="461">
        <v>8.6199999999999992</v>
      </c>
      <c r="V38" s="461">
        <v>8.6199999999999992</v>
      </c>
    </row>
    <row r="39" spans="1:22" s="455" customFormat="1" ht="12.75" hidden="1" customHeight="1">
      <c r="A39" s="455" t="str">
        <f t="shared" si="0"/>
        <v>60002011100000</v>
      </c>
      <c r="B39" s="455" t="str">
        <f>VLOOKUP(LEFT($C$3:$C$2600,3),Table!$N$2:$O$88,2,FALSE)</f>
        <v>Cash and Time deposit</v>
      </c>
      <c r="C39" s="535" t="str">
        <f t="shared" si="1"/>
        <v>2011100000</v>
      </c>
      <c r="D39" s="455" t="e">
        <f>VLOOKUP(G39,Table!$Q$3:$R$21,2,FALSE)</f>
        <v>#N/A</v>
      </c>
      <c r="E39" s="452" t="s">
        <v>840</v>
      </c>
      <c r="F39" s="452" t="s">
        <v>2102</v>
      </c>
      <c r="G39" s="452" t="s">
        <v>2130</v>
      </c>
      <c r="H39" s="452" t="s">
        <v>257</v>
      </c>
      <c r="I39" s="453" t="s">
        <v>842</v>
      </c>
      <c r="J39" s="453">
        <v>4842.75</v>
      </c>
      <c r="K39" s="461">
        <v>4842.75</v>
      </c>
      <c r="L39" s="461">
        <v>0</v>
      </c>
      <c r="M39" s="461">
        <v>0</v>
      </c>
      <c r="N39" s="461">
        <v>0</v>
      </c>
      <c r="O39" s="461">
        <v>0</v>
      </c>
      <c r="P39" s="461">
        <v>0</v>
      </c>
      <c r="Q39" s="461">
        <v>0</v>
      </c>
      <c r="R39" s="461">
        <v>0</v>
      </c>
      <c r="S39" s="461">
        <v>0</v>
      </c>
      <c r="T39" s="461">
        <v>0</v>
      </c>
      <c r="U39" s="461">
        <v>0</v>
      </c>
      <c r="V39" s="461">
        <v>0</v>
      </c>
    </row>
    <row r="40" spans="1:22" s="455" customFormat="1" ht="12.75" hidden="1" customHeight="1">
      <c r="A40" s="455" t="str">
        <f t="shared" si="0"/>
        <v>60002031000000</v>
      </c>
      <c r="B40" s="455" t="str">
        <f>VLOOKUP(LEFT($C$3:$C$2600,3),Table!$N$2:$O$88,2,FALSE)</f>
        <v>Accounts payable</v>
      </c>
      <c r="C40" s="535" t="str">
        <f t="shared" si="1"/>
        <v>2031000000</v>
      </c>
      <c r="D40" s="455" t="e">
        <f>VLOOKUP(G40,Table!$Q$3:$R$21,2,FALSE)</f>
        <v>#N/A</v>
      </c>
      <c r="E40" s="452" t="s">
        <v>840</v>
      </c>
      <c r="F40" s="452" t="s">
        <v>2102</v>
      </c>
      <c r="G40" s="452" t="s">
        <v>2131</v>
      </c>
      <c r="H40" s="452" t="s">
        <v>276</v>
      </c>
      <c r="I40" s="453" t="s">
        <v>842</v>
      </c>
      <c r="J40" s="453">
        <v>-792032</v>
      </c>
      <c r="K40" s="461">
        <v>-753200</v>
      </c>
      <c r="L40" s="461">
        <v>-753200</v>
      </c>
      <c r="M40" s="461">
        <v>-672500</v>
      </c>
      <c r="N40" s="461">
        <v>-672500</v>
      </c>
      <c r="O40" s="461">
        <v>-672500</v>
      </c>
      <c r="P40" s="461">
        <v>-672500</v>
      </c>
      <c r="Q40" s="461">
        <v>-672500</v>
      </c>
      <c r="R40" s="461">
        <v>-672500</v>
      </c>
      <c r="S40" s="461">
        <v>-672500</v>
      </c>
      <c r="T40" s="461">
        <v>-672500</v>
      </c>
      <c r="U40" s="461">
        <v>-672500</v>
      </c>
      <c r="V40" s="461">
        <v>-672500</v>
      </c>
    </row>
    <row r="41" spans="1:22" s="455" customFormat="1" ht="12.75" hidden="1" customHeight="1">
      <c r="A41" s="455" t="str">
        <f t="shared" si="0"/>
        <v>60002031100000</v>
      </c>
      <c r="B41" s="455" t="str">
        <f>VLOOKUP(LEFT($C$3:$C$2600,3),Table!$N$2:$O$88,2,FALSE)</f>
        <v>Accounts payable</v>
      </c>
      <c r="C41" s="535" t="str">
        <f t="shared" si="1"/>
        <v>2031100000</v>
      </c>
      <c r="D41" s="455" t="e">
        <f>VLOOKUP(G41,Table!$Q$3:$R$21,2,FALSE)</f>
        <v>#N/A</v>
      </c>
      <c r="E41" s="452" t="s">
        <v>840</v>
      </c>
      <c r="F41" s="452" t="s">
        <v>2102</v>
      </c>
      <c r="G41" s="452" t="s">
        <v>2132</v>
      </c>
      <c r="H41" s="452" t="s">
        <v>277</v>
      </c>
      <c r="I41" s="453" t="s">
        <v>842</v>
      </c>
      <c r="J41" s="453">
        <v>-158550.16</v>
      </c>
      <c r="K41" s="461">
        <v>-99266.89</v>
      </c>
      <c r="L41" s="461">
        <v>-172922.96</v>
      </c>
      <c r="M41" s="461">
        <v>-101174.23</v>
      </c>
      <c r="N41" s="461">
        <v>-2090</v>
      </c>
      <c r="O41" s="461">
        <v>-2090</v>
      </c>
      <c r="P41" s="461">
        <v>-2090</v>
      </c>
      <c r="Q41" s="461">
        <v>-2090</v>
      </c>
      <c r="R41" s="461">
        <v>-2090</v>
      </c>
      <c r="S41" s="461">
        <v>-2090</v>
      </c>
      <c r="T41" s="461">
        <v>-2090</v>
      </c>
      <c r="U41" s="461">
        <v>-2090</v>
      </c>
      <c r="V41" s="461">
        <v>-2090</v>
      </c>
    </row>
    <row r="42" spans="1:22" s="455" customFormat="1" ht="12.75" hidden="1" customHeight="1">
      <c r="A42" s="455" t="str">
        <f t="shared" si="0"/>
        <v>60002031200000</v>
      </c>
      <c r="B42" s="455" t="str">
        <f>VLOOKUP(LEFT($C$3:$C$2600,3),Table!$N$2:$O$88,2,FALSE)</f>
        <v>Taxes payable</v>
      </c>
      <c r="C42" s="535" t="str">
        <f t="shared" si="1"/>
        <v>206</v>
      </c>
      <c r="D42" s="455" t="str">
        <f>VLOOKUP(G42,Table!$Q$3:$R$21,2,FALSE)</f>
        <v>206</v>
      </c>
      <c r="E42" s="452" t="s">
        <v>840</v>
      </c>
      <c r="F42" s="452" t="s">
        <v>2102</v>
      </c>
      <c r="G42" s="452" t="s">
        <v>2133</v>
      </c>
      <c r="H42" s="452" t="s">
        <v>302</v>
      </c>
      <c r="I42" s="453" t="s">
        <v>842</v>
      </c>
      <c r="J42" s="453">
        <v>448588.5</v>
      </c>
      <c r="K42" s="461">
        <v>423588.5</v>
      </c>
      <c r="L42" s="461">
        <v>488588.5</v>
      </c>
      <c r="M42" s="461">
        <v>508588.5</v>
      </c>
      <c r="N42" s="461">
        <v>508588.5</v>
      </c>
      <c r="O42" s="461">
        <v>508588.5</v>
      </c>
      <c r="P42" s="461">
        <v>508588.5</v>
      </c>
      <c r="Q42" s="461">
        <v>508588.5</v>
      </c>
      <c r="R42" s="461">
        <v>508588.5</v>
      </c>
      <c r="S42" s="461">
        <v>508588.5</v>
      </c>
      <c r="T42" s="461">
        <v>508588.5</v>
      </c>
      <c r="U42" s="461">
        <v>508588.5</v>
      </c>
      <c r="V42" s="461">
        <v>508588.5</v>
      </c>
    </row>
    <row r="43" spans="1:22" s="455" customFormat="1" ht="12.75" hidden="1" customHeight="1">
      <c r="A43" s="455" t="str">
        <f t="shared" si="0"/>
        <v>60002031210000</v>
      </c>
      <c r="B43" s="455" t="str">
        <f>VLOOKUP(LEFT($C$3:$C$2600,3),Table!$N$2:$O$88,2,FALSE)</f>
        <v>Deferred taxation</v>
      </c>
      <c r="C43" s="535">
        <f t="shared" si="1"/>
        <v>205</v>
      </c>
      <c r="D43" s="455">
        <f>VLOOKUP(G43,Table!$Q$3:$R$21,2,FALSE)</f>
        <v>205</v>
      </c>
      <c r="E43" s="452" t="s">
        <v>840</v>
      </c>
      <c r="F43" s="452" t="s">
        <v>2102</v>
      </c>
      <c r="G43" s="452" t="s">
        <v>2134</v>
      </c>
      <c r="H43" s="452" t="s">
        <v>303</v>
      </c>
      <c r="I43" s="453" t="s">
        <v>842</v>
      </c>
      <c r="J43" s="453">
        <v>-2351000</v>
      </c>
      <c r="K43" s="461">
        <v>-2351000</v>
      </c>
      <c r="L43" s="461">
        <v>-2351000</v>
      </c>
      <c r="M43" s="461">
        <v>-2351000</v>
      </c>
      <c r="N43" s="461">
        <v>-2351000</v>
      </c>
      <c r="O43" s="461">
        <v>-2351000</v>
      </c>
      <c r="P43" s="461">
        <v>-2351000</v>
      </c>
      <c r="Q43" s="461">
        <v>-2351000</v>
      </c>
      <c r="R43" s="461">
        <v>-2351000</v>
      </c>
      <c r="S43" s="461">
        <v>-2351000</v>
      </c>
      <c r="T43" s="461">
        <v>-2351000</v>
      </c>
      <c r="U43" s="461">
        <v>-2351000</v>
      </c>
      <c r="V43" s="461">
        <v>-2351000</v>
      </c>
    </row>
    <row r="44" spans="1:22" s="455" customFormat="1" ht="12.75" hidden="1" customHeight="1">
      <c r="A44" s="455" t="str">
        <f t="shared" si="0"/>
        <v>60002031210000</v>
      </c>
      <c r="B44" s="455" t="str">
        <f>VLOOKUP(LEFT($C$3:$C$2600,3),Table!$N$2:$O$88,2,FALSE)</f>
        <v>Deferred taxation</v>
      </c>
      <c r="C44" s="535">
        <f t="shared" si="1"/>
        <v>205</v>
      </c>
      <c r="D44" s="455">
        <f>VLOOKUP(G44,Table!$Q$3:$R$21,2,FALSE)</f>
        <v>205</v>
      </c>
      <c r="E44" s="452" t="s">
        <v>840</v>
      </c>
      <c r="F44" s="452" t="s">
        <v>2102</v>
      </c>
      <c r="G44" s="452" t="s">
        <v>2134</v>
      </c>
      <c r="H44" s="452" t="s">
        <v>303</v>
      </c>
      <c r="I44" s="453" t="s">
        <v>844</v>
      </c>
      <c r="J44" s="453">
        <v>0</v>
      </c>
      <c r="K44" s="461">
        <v>0</v>
      </c>
      <c r="L44" s="461">
        <v>0</v>
      </c>
      <c r="M44" s="461">
        <v>0</v>
      </c>
      <c r="N44" s="461">
        <v>0</v>
      </c>
      <c r="O44" s="461">
        <v>0</v>
      </c>
      <c r="P44" s="461">
        <v>0</v>
      </c>
      <c r="Q44" s="461">
        <v>0</v>
      </c>
      <c r="R44" s="461">
        <v>0</v>
      </c>
      <c r="S44" s="461">
        <v>0</v>
      </c>
      <c r="T44" s="461">
        <v>0</v>
      </c>
      <c r="U44" s="461">
        <v>0</v>
      </c>
      <c r="V44" s="461">
        <v>0</v>
      </c>
    </row>
    <row r="45" spans="1:22" s="455" customFormat="1" ht="12.75" hidden="1" customHeight="1">
      <c r="A45" s="455" t="str">
        <f t="shared" si="0"/>
        <v>60002031300000</v>
      </c>
      <c r="B45" s="455" t="str">
        <f>VLOOKUP(LEFT($C$3:$C$2600,3),Table!$N$2:$O$88,2,FALSE)</f>
        <v>Accounts payable</v>
      </c>
      <c r="C45" s="535" t="str">
        <f t="shared" si="1"/>
        <v>2031300000</v>
      </c>
      <c r="D45" s="455" t="e">
        <f>VLOOKUP(G45,Table!$Q$3:$R$21,2,FALSE)</f>
        <v>#N/A</v>
      </c>
      <c r="E45" s="452" t="s">
        <v>840</v>
      </c>
      <c r="F45" s="452" t="s">
        <v>2102</v>
      </c>
      <c r="G45" s="452" t="s">
        <v>883</v>
      </c>
      <c r="H45" s="452" t="s">
        <v>281</v>
      </c>
      <c r="I45" s="453" t="s">
        <v>842</v>
      </c>
      <c r="J45" s="453">
        <v>-15490.96</v>
      </c>
      <c r="K45" s="461">
        <v>-15985.08</v>
      </c>
      <c r="L45" s="461">
        <v>-7646.64</v>
      </c>
      <c r="M45" s="461">
        <v>-13576.72</v>
      </c>
      <c r="N45" s="461">
        <v>-13576.72</v>
      </c>
      <c r="O45" s="461">
        <v>-13576.72</v>
      </c>
      <c r="P45" s="461">
        <v>-13576.72</v>
      </c>
      <c r="Q45" s="461">
        <v>-13576.72</v>
      </c>
      <c r="R45" s="461">
        <v>-13576.72</v>
      </c>
      <c r="S45" s="461">
        <v>-13576.72</v>
      </c>
      <c r="T45" s="461">
        <v>-13576.72</v>
      </c>
      <c r="U45" s="461">
        <v>-13576.72</v>
      </c>
      <c r="V45" s="461">
        <v>-13576.72</v>
      </c>
    </row>
    <row r="46" spans="1:22" s="455" customFormat="1" ht="12.75" hidden="1" customHeight="1">
      <c r="A46" s="455" t="str">
        <f t="shared" si="0"/>
        <v>60002031400000</v>
      </c>
      <c r="B46" s="455" t="str">
        <f>VLOOKUP(LEFT($C$3:$C$2600,3),Table!$N$2:$O$88,2,FALSE)</f>
        <v>Accounts payable</v>
      </c>
      <c r="C46" s="535" t="str">
        <f t="shared" si="1"/>
        <v>2031400000</v>
      </c>
      <c r="D46" s="455" t="e">
        <f>VLOOKUP(G46,Table!$Q$3:$R$21,2,FALSE)</f>
        <v>#N/A</v>
      </c>
      <c r="E46" s="452" t="s">
        <v>840</v>
      </c>
      <c r="F46" s="452" t="s">
        <v>2102</v>
      </c>
      <c r="G46" s="452" t="s">
        <v>2135</v>
      </c>
      <c r="H46" s="452" t="s">
        <v>272</v>
      </c>
      <c r="I46" s="453" t="s">
        <v>842</v>
      </c>
      <c r="J46" s="453">
        <v>-47910.32</v>
      </c>
      <c r="K46" s="461">
        <v>-47910.32</v>
      </c>
      <c r="L46" s="461">
        <v>-54960.32</v>
      </c>
      <c r="M46" s="461">
        <v>-54960.32</v>
      </c>
      <c r="N46" s="461">
        <v>-54960.32</v>
      </c>
      <c r="O46" s="461">
        <v>-54960.32</v>
      </c>
      <c r="P46" s="461">
        <v>-54960.32</v>
      </c>
      <c r="Q46" s="461">
        <v>-54960.32</v>
      </c>
      <c r="R46" s="461">
        <v>-54960.32</v>
      </c>
      <c r="S46" s="461">
        <v>-54960.32</v>
      </c>
      <c r="T46" s="461">
        <v>-54960.32</v>
      </c>
      <c r="U46" s="461">
        <v>-54960.32</v>
      </c>
      <c r="V46" s="461">
        <v>-54960.32</v>
      </c>
    </row>
    <row r="47" spans="1:22" s="455" customFormat="1" ht="12.75" hidden="1" customHeight="1">
      <c r="A47" s="455" t="str">
        <f t="shared" si="0"/>
        <v>60002031500000</v>
      </c>
      <c r="B47" s="455" t="str">
        <f>VLOOKUP(LEFT($C$3:$C$2600,3),Table!$N$2:$O$88,2,FALSE)</f>
        <v>Accounts payable</v>
      </c>
      <c r="C47" s="535" t="str">
        <f t="shared" si="1"/>
        <v>2031500000</v>
      </c>
      <c r="D47" s="455" t="e">
        <f>VLOOKUP(G47,Table!$Q$3:$R$21,2,FALSE)</f>
        <v>#N/A</v>
      </c>
      <c r="E47" s="452" t="s">
        <v>840</v>
      </c>
      <c r="F47" s="452" t="s">
        <v>2102</v>
      </c>
      <c r="G47" s="452" t="s">
        <v>2136</v>
      </c>
      <c r="H47" s="452" t="s">
        <v>273</v>
      </c>
      <c r="I47" s="453" t="s">
        <v>842</v>
      </c>
      <c r="J47" s="453">
        <v>-323484.69</v>
      </c>
      <c r="K47" s="461">
        <v>-280858.74</v>
      </c>
      <c r="L47" s="461">
        <v>-366099.5</v>
      </c>
      <c r="M47" s="461">
        <v>-336454.15</v>
      </c>
      <c r="N47" s="461">
        <v>-325654.15000000002</v>
      </c>
      <c r="O47" s="461">
        <v>-325654.15000000002</v>
      </c>
      <c r="P47" s="461">
        <v>-325654.15000000002</v>
      </c>
      <c r="Q47" s="461">
        <v>-325654.15000000002</v>
      </c>
      <c r="R47" s="461">
        <v>-325654.15000000002</v>
      </c>
      <c r="S47" s="461">
        <v>-325654.15000000002</v>
      </c>
      <c r="T47" s="461">
        <v>-325654.15000000002</v>
      </c>
      <c r="U47" s="461">
        <v>-325654.15000000002</v>
      </c>
      <c r="V47" s="461">
        <v>-325654.15000000002</v>
      </c>
    </row>
    <row r="48" spans="1:22" s="455" customFormat="1" ht="12.75" hidden="1" customHeight="1">
      <c r="A48" s="455" t="str">
        <f t="shared" si="0"/>
        <v>60002031610000</v>
      </c>
      <c r="B48" s="455" t="str">
        <f>VLOOKUP(LEFT($C$3:$C$2600,3),Table!$N$2:$O$88,2,FALSE)</f>
        <v>Accounts payable</v>
      </c>
      <c r="C48" s="535" t="str">
        <f t="shared" si="1"/>
        <v>2031610000</v>
      </c>
      <c r="D48" s="455" t="e">
        <f>VLOOKUP(G48,Table!$Q$3:$R$21,2,FALSE)</f>
        <v>#N/A</v>
      </c>
      <c r="E48" s="452" t="s">
        <v>840</v>
      </c>
      <c r="F48" s="452" t="s">
        <v>2102</v>
      </c>
      <c r="G48" s="452" t="s">
        <v>2137</v>
      </c>
      <c r="H48" s="452" t="s">
        <v>282</v>
      </c>
      <c r="I48" s="453" t="s">
        <v>842</v>
      </c>
      <c r="J48" s="453">
        <v>-6643.28</v>
      </c>
      <c r="K48" s="461">
        <v>-11763.45</v>
      </c>
      <c r="L48" s="461">
        <v>-11068.45</v>
      </c>
      <c r="M48" s="461">
        <v>-2960.24</v>
      </c>
      <c r="N48" s="461">
        <v>-2875.24</v>
      </c>
      <c r="O48" s="461">
        <v>-2875.24</v>
      </c>
      <c r="P48" s="461">
        <v>-2875.24</v>
      </c>
      <c r="Q48" s="461">
        <v>-2875.24</v>
      </c>
      <c r="R48" s="461">
        <v>-2875.24</v>
      </c>
      <c r="S48" s="461">
        <v>-2875.24</v>
      </c>
      <c r="T48" s="461">
        <v>-2875.24</v>
      </c>
      <c r="U48" s="461">
        <v>-2875.24</v>
      </c>
      <c r="V48" s="461">
        <v>-2875.24</v>
      </c>
    </row>
    <row r="49" spans="1:22" s="455" customFormat="1" ht="12.75" hidden="1" customHeight="1">
      <c r="A49" s="455" t="str">
        <f t="shared" si="0"/>
        <v>60002031620000</v>
      </c>
      <c r="B49" s="455" t="str">
        <f>VLOOKUP(LEFT($C$3:$C$2600,3),Table!$N$2:$O$88,2,FALSE)</f>
        <v>Accounts payable</v>
      </c>
      <c r="C49" s="535" t="str">
        <f t="shared" si="1"/>
        <v>2031620000</v>
      </c>
      <c r="D49" s="455" t="e">
        <f>VLOOKUP(G49,Table!$Q$3:$R$21,2,FALSE)</f>
        <v>#N/A</v>
      </c>
      <c r="E49" s="452" t="s">
        <v>840</v>
      </c>
      <c r="F49" s="452" t="s">
        <v>2102</v>
      </c>
      <c r="G49" s="452" t="s">
        <v>2138</v>
      </c>
      <c r="H49" s="452" t="s">
        <v>283</v>
      </c>
      <c r="I49" s="453" t="s">
        <v>842</v>
      </c>
      <c r="J49" s="453">
        <v>-5660.04</v>
      </c>
      <c r="K49" s="461">
        <v>-4725.05</v>
      </c>
      <c r="L49" s="461">
        <v>-2036.92</v>
      </c>
      <c r="M49" s="461">
        <v>-6070.52</v>
      </c>
      <c r="N49" s="461">
        <v>13447.75</v>
      </c>
      <c r="O49" s="461">
        <v>13447.75</v>
      </c>
      <c r="P49" s="461">
        <v>13447.75</v>
      </c>
      <c r="Q49" s="461">
        <v>13447.75</v>
      </c>
      <c r="R49" s="461">
        <v>13447.75</v>
      </c>
      <c r="S49" s="461">
        <v>13447.75</v>
      </c>
      <c r="T49" s="461">
        <v>13447.75</v>
      </c>
      <c r="U49" s="461">
        <v>13447.75</v>
      </c>
      <c r="V49" s="461">
        <v>13447.75</v>
      </c>
    </row>
    <row r="50" spans="1:22" s="455" customFormat="1" ht="12.75" hidden="1" customHeight="1">
      <c r="A50" s="455" t="str">
        <f t="shared" si="0"/>
        <v>60002031630000</v>
      </c>
      <c r="B50" s="455" t="str">
        <f>VLOOKUP(LEFT($C$3:$C$2600,3),Table!$N$2:$O$88,2,FALSE)</f>
        <v>Accounts payable</v>
      </c>
      <c r="C50" s="535" t="str">
        <f t="shared" si="1"/>
        <v>2031630000</v>
      </c>
      <c r="D50" s="455" t="e">
        <f>VLOOKUP(G50,Table!$Q$3:$R$21,2,FALSE)</f>
        <v>#N/A</v>
      </c>
      <c r="E50" s="452" t="s">
        <v>840</v>
      </c>
      <c r="F50" s="452" t="s">
        <v>2102</v>
      </c>
      <c r="G50" s="452" t="s">
        <v>2139</v>
      </c>
      <c r="H50" s="452" t="s">
        <v>284</v>
      </c>
      <c r="I50" s="453" t="s">
        <v>842</v>
      </c>
      <c r="J50" s="453">
        <v>-17104.330000000002</v>
      </c>
      <c r="K50" s="461">
        <v>-13029.18</v>
      </c>
      <c r="L50" s="461">
        <v>-12121.18</v>
      </c>
      <c r="M50" s="461">
        <v>-7974.4</v>
      </c>
      <c r="N50" s="461">
        <v>-7244.4</v>
      </c>
      <c r="O50" s="461">
        <v>-7244.4</v>
      </c>
      <c r="P50" s="461">
        <v>-7244.4</v>
      </c>
      <c r="Q50" s="461">
        <v>-7244.4</v>
      </c>
      <c r="R50" s="461">
        <v>-7244.4</v>
      </c>
      <c r="S50" s="461">
        <v>-7244.4</v>
      </c>
      <c r="T50" s="461">
        <v>-7244.4</v>
      </c>
      <c r="U50" s="461">
        <v>-7244.4</v>
      </c>
      <c r="V50" s="461">
        <v>-7244.4</v>
      </c>
    </row>
    <row r="51" spans="1:22" s="455" customFormat="1" ht="12.75" hidden="1" customHeight="1">
      <c r="A51" s="455" t="str">
        <f t="shared" si="0"/>
        <v>60002031700000</v>
      </c>
      <c r="B51" s="455" t="str">
        <f>VLOOKUP(LEFT($C$3:$C$2600,3),Table!$N$2:$O$88,2,FALSE)</f>
        <v>Accounts payable</v>
      </c>
      <c r="C51" s="535" t="str">
        <f t="shared" si="1"/>
        <v>2031700000</v>
      </c>
      <c r="D51" s="455" t="e">
        <f>VLOOKUP(G51,Table!$Q$3:$R$21,2,FALSE)</f>
        <v>#N/A</v>
      </c>
      <c r="E51" s="452" t="s">
        <v>840</v>
      </c>
      <c r="F51" s="452" t="s">
        <v>2102</v>
      </c>
      <c r="G51" s="452" t="s">
        <v>886</v>
      </c>
      <c r="H51" s="452" t="s">
        <v>285</v>
      </c>
      <c r="I51" s="453" t="s">
        <v>842</v>
      </c>
      <c r="J51" s="453">
        <v>-10952.75</v>
      </c>
      <c r="K51" s="461">
        <v>-18135.189999999999</v>
      </c>
      <c r="L51" s="461">
        <v>-14978.12</v>
      </c>
      <c r="M51" s="461">
        <v>-36555.14</v>
      </c>
      <c r="N51" s="461">
        <v>0</v>
      </c>
      <c r="O51" s="461">
        <v>0</v>
      </c>
      <c r="P51" s="461">
        <v>0</v>
      </c>
      <c r="Q51" s="461">
        <v>0</v>
      </c>
      <c r="R51" s="461">
        <v>0</v>
      </c>
      <c r="S51" s="461">
        <v>0</v>
      </c>
      <c r="T51" s="461">
        <v>0</v>
      </c>
      <c r="U51" s="461">
        <v>0</v>
      </c>
      <c r="V51" s="461">
        <v>0</v>
      </c>
    </row>
    <row r="52" spans="1:22" s="455" customFormat="1" ht="12.75" hidden="1" customHeight="1">
      <c r="A52" s="455" t="str">
        <f t="shared" si="0"/>
        <v>60002032200000</v>
      </c>
      <c r="B52" s="455" t="str">
        <f>VLOOKUP(LEFT($C$3:$C$2600,3),Table!$N$2:$O$88,2,FALSE)</f>
        <v>Accounts payable</v>
      </c>
      <c r="C52" s="535" t="str">
        <f t="shared" si="1"/>
        <v>2032200000</v>
      </c>
      <c r="D52" s="455" t="e">
        <f>VLOOKUP(G52,Table!$Q$3:$R$21,2,FALSE)</f>
        <v>#N/A</v>
      </c>
      <c r="E52" s="452" t="s">
        <v>840</v>
      </c>
      <c r="F52" s="452" t="s">
        <v>2102</v>
      </c>
      <c r="G52" s="452" t="s">
        <v>889</v>
      </c>
      <c r="H52" s="452" t="s">
        <v>2599</v>
      </c>
      <c r="I52" s="453" t="s">
        <v>842</v>
      </c>
      <c r="J52" s="453">
        <v>0</v>
      </c>
      <c r="K52" s="461">
        <v>0</v>
      </c>
      <c r="L52" s="461">
        <v>0</v>
      </c>
      <c r="M52" s="461">
        <v>-14732.17</v>
      </c>
      <c r="N52" s="461">
        <v>-14732.17</v>
      </c>
      <c r="O52" s="461">
        <v>-14732.17</v>
      </c>
      <c r="P52" s="461">
        <v>-14732.17</v>
      </c>
      <c r="Q52" s="461">
        <v>-14732.17</v>
      </c>
      <c r="R52" s="461">
        <v>-14732.17</v>
      </c>
      <c r="S52" s="461">
        <v>-14732.17</v>
      </c>
      <c r="T52" s="461">
        <v>-14732.17</v>
      </c>
      <c r="U52" s="461">
        <v>-14732.17</v>
      </c>
      <c r="V52" s="461">
        <v>-14732.17</v>
      </c>
    </row>
    <row r="53" spans="1:22" s="455" customFormat="1" ht="12.75" hidden="1" customHeight="1">
      <c r="A53" s="455" t="str">
        <f t="shared" si="0"/>
        <v>60002032300000</v>
      </c>
      <c r="B53" s="455" t="str">
        <f>VLOOKUP(LEFT($C$3:$C$2600,3),Table!$N$2:$O$88,2,FALSE)</f>
        <v>Accounts payable</v>
      </c>
      <c r="C53" s="535" t="str">
        <f t="shared" si="1"/>
        <v>2032300000</v>
      </c>
      <c r="D53" s="455" t="e">
        <f>VLOOKUP(G53,Table!$Q$3:$R$21,2,FALSE)</f>
        <v>#N/A</v>
      </c>
      <c r="E53" s="452" t="s">
        <v>840</v>
      </c>
      <c r="F53" s="452" t="s">
        <v>2102</v>
      </c>
      <c r="G53" s="452" t="s">
        <v>2600</v>
      </c>
      <c r="H53" s="452" t="s">
        <v>2601</v>
      </c>
      <c r="I53" s="453" t="s">
        <v>842</v>
      </c>
      <c r="J53" s="453">
        <v>0</v>
      </c>
      <c r="K53" s="461">
        <v>0</v>
      </c>
      <c r="L53" s="461">
        <v>0</v>
      </c>
      <c r="M53" s="461">
        <v>-92317.29</v>
      </c>
      <c r="N53" s="461">
        <v>-92317.29</v>
      </c>
      <c r="O53" s="461">
        <v>-92317.29</v>
      </c>
      <c r="P53" s="461">
        <v>-92317.29</v>
      </c>
      <c r="Q53" s="461">
        <v>-92317.29</v>
      </c>
      <c r="R53" s="461">
        <v>-92317.29</v>
      </c>
      <c r="S53" s="461">
        <v>-92317.29</v>
      </c>
      <c r="T53" s="461">
        <v>-92317.29</v>
      </c>
      <c r="U53" s="461">
        <v>-92317.29</v>
      </c>
      <c r="V53" s="461">
        <v>-92317.29</v>
      </c>
    </row>
    <row r="54" spans="1:22" s="455" customFormat="1" ht="12.75" hidden="1" customHeight="1">
      <c r="A54" s="455" t="str">
        <f t="shared" si="0"/>
        <v>60002120000000</v>
      </c>
      <c r="B54" s="455" t="str">
        <f>VLOOKUP(LEFT($C$3:$C$2600,3),Table!$N$2:$O$88,2,FALSE)</f>
        <v>Net fixed assets</v>
      </c>
      <c r="C54" s="535" t="str">
        <f t="shared" si="1"/>
        <v>2120000000</v>
      </c>
      <c r="D54" s="455" t="e">
        <f>VLOOKUP(G54,Table!$Q$3:$R$21,2,FALSE)</f>
        <v>#N/A</v>
      </c>
      <c r="E54" s="452" t="s">
        <v>840</v>
      </c>
      <c r="F54" s="452" t="s">
        <v>2102</v>
      </c>
      <c r="G54" s="452" t="s">
        <v>2140</v>
      </c>
      <c r="H54" s="452" t="s">
        <v>263</v>
      </c>
      <c r="I54" s="453" t="s">
        <v>842</v>
      </c>
      <c r="J54" s="453">
        <v>-23767107.760000002</v>
      </c>
      <c r="K54" s="461">
        <v>-23767107.760000002</v>
      </c>
      <c r="L54" s="461">
        <v>-23767107.760000002</v>
      </c>
      <c r="M54" s="461">
        <v>-23767107.760000002</v>
      </c>
      <c r="N54" s="461">
        <v>-23767107.760000002</v>
      </c>
      <c r="O54" s="461">
        <v>-23767107.760000002</v>
      </c>
      <c r="P54" s="461">
        <v>-23767107.760000002</v>
      </c>
      <c r="Q54" s="461">
        <v>-23767107.760000002</v>
      </c>
      <c r="R54" s="461">
        <v>-23767107.760000002</v>
      </c>
      <c r="S54" s="461">
        <v>-23767107.760000002</v>
      </c>
      <c r="T54" s="461">
        <v>-23767107.760000002</v>
      </c>
      <c r="U54" s="461">
        <v>-23767107.760000002</v>
      </c>
      <c r="V54" s="461">
        <v>-23767107.760000002</v>
      </c>
    </row>
    <row r="55" spans="1:22" s="455" customFormat="1" ht="12.75" hidden="1" customHeight="1">
      <c r="A55" s="455" t="str">
        <f t="shared" si="0"/>
        <v>60002120000000</v>
      </c>
      <c r="B55" s="455" t="str">
        <f>VLOOKUP(LEFT($C$3:$C$2600,3),Table!$N$2:$O$88,2,FALSE)</f>
        <v>Net fixed assets</v>
      </c>
      <c r="C55" s="535" t="str">
        <f t="shared" si="1"/>
        <v>2120000000</v>
      </c>
      <c r="D55" s="455" t="e">
        <f>VLOOKUP(G55,Table!$Q$3:$R$21,2,FALSE)</f>
        <v>#N/A</v>
      </c>
      <c r="E55" s="452" t="s">
        <v>840</v>
      </c>
      <c r="F55" s="452" t="s">
        <v>2102</v>
      </c>
      <c r="G55" s="452" t="s">
        <v>2140</v>
      </c>
      <c r="H55" s="452" t="s">
        <v>263</v>
      </c>
      <c r="I55" s="453" t="s">
        <v>844</v>
      </c>
      <c r="J55" s="453">
        <v>0</v>
      </c>
      <c r="K55" s="461">
        <v>-115283</v>
      </c>
      <c r="L55" s="461">
        <v>-244593</v>
      </c>
      <c r="M55" s="461">
        <v>-376744</v>
      </c>
      <c r="N55" s="461">
        <v>-376744</v>
      </c>
      <c r="O55" s="461">
        <v>-376744</v>
      </c>
      <c r="P55" s="461">
        <v>-376744</v>
      </c>
      <c r="Q55" s="461">
        <v>0</v>
      </c>
      <c r="R55" s="461">
        <v>0</v>
      </c>
      <c r="S55" s="461">
        <v>0</v>
      </c>
      <c r="T55" s="461">
        <v>0</v>
      </c>
      <c r="U55" s="461">
        <v>0</v>
      </c>
      <c r="V55" s="461">
        <v>0</v>
      </c>
    </row>
    <row r="56" spans="1:22" s="455" customFormat="1" ht="12.75" hidden="1" customHeight="1">
      <c r="A56" s="455" t="str">
        <f t="shared" si="0"/>
        <v>60003000000000</v>
      </c>
      <c r="B56" s="455" t="str">
        <f>VLOOKUP(LEFT($C$3:$C$2600,3),Table!$N$2:$O$88,2,FALSE)</f>
        <v>Ordinary shares</v>
      </c>
      <c r="C56" s="535" t="str">
        <f t="shared" si="1"/>
        <v>3000000000</v>
      </c>
      <c r="D56" s="455" t="e">
        <f>VLOOKUP(G56,Table!$Q$3:$R$21,2,FALSE)</f>
        <v>#N/A</v>
      </c>
      <c r="E56" s="452" t="s">
        <v>840</v>
      </c>
      <c r="F56" s="452" t="s">
        <v>2102</v>
      </c>
      <c r="G56" s="452" t="s">
        <v>2072</v>
      </c>
      <c r="H56" s="452" t="s">
        <v>258</v>
      </c>
      <c r="I56" s="453" t="s">
        <v>842</v>
      </c>
      <c r="J56" s="453">
        <v>-12250000</v>
      </c>
      <c r="K56" s="461">
        <v>-12250000</v>
      </c>
      <c r="L56" s="461">
        <v>-12250000</v>
      </c>
      <c r="M56" s="461">
        <v>-12250000</v>
      </c>
      <c r="N56" s="461">
        <v>-12250000</v>
      </c>
      <c r="O56" s="461">
        <v>-12250000</v>
      </c>
      <c r="P56" s="461">
        <v>-12250000</v>
      </c>
      <c r="Q56" s="461">
        <v>-12250000</v>
      </c>
      <c r="R56" s="461">
        <v>-12250000</v>
      </c>
      <c r="S56" s="461">
        <v>-12250000</v>
      </c>
      <c r="T56" s="461">
        <v>-12250000</v>
      </c>
      <c r="U56" s="461">
        <v>-12250000</v>
      </c>
      <c r="V56" s="461">
        <v>-12250000</v>
      </c>
    </row>
    <row r="57" spans="1:22" s="455" customFormat="1" ht="12.75" hidden="1" customHeight="1">
      <c r="A57" s="455" t="str">
        <f t="shared" si="0"/>
        <v>60003020000000</v>
      </c>
      <c r="B57" s="455" t="str">
        <f>VLOOKUP(LEFT($C$3:$C$2600,3),Table!$N$2:$O$88,2,FALSE)</f>
        <v>Retained earnings</v>
      </c>
      <c r="C57" s="535" t="str">
        <f t="shared" si="1"/>
        <v>3020000000</v>
      </c>
      <c r="D57" s="455" t="e">
        <f>VLOOKUP(G57,Table!$Q$3:$R$21,2,FALSE)</f>
        <v>#N/A</v>
      </c>
      <c r="E57" s="452" t="s">
        <v>840</v>
      </c>
      <c r="F57" s="452" t="s">
        <v>2102</v>
      </c>
      <c r="G57" s="452" t="s">
        <v>2073</v>
      </c>
      <c r="H57" s="452" t="s">
        <v>259</v>
      </c>
      <c r="I57" s="453" t="s">
        <v>842</v>
      </c>
      <c r="J57" s="453">
        <v>-22346944.359999999</v>
      </c>
      <c r="K57" s="461">
        <v>-22346944.359999999</v>
      </c>
      <c r="L57" s="461">
        <v>-22346944.359999999</v>
      </c>
      <c r="M57" s="461">
        <v>-22346944.359999999</v>
      </c>
      <c r="N57" s="461">
        <v>-22346944.359999999</v>
      </c>
      <c r="O57" s="461">
        <v>-22346944.359999999</v>
      </c>
      <c r="P57" s="461">
        <v>-22346944.359999999</v>
      </c>
      <c r="Q57" s="461">
        <v>-22346944.359999999</v>
      </c>
      <c r="R57" s="461">
        <v>-22346944.359999999</v>
      </c>
      <c r="S57" s="461">
        <v>-22346944.359999999</v>
      </c>
      <c r="T57" s="461">
        <v>-22346944.359999999</v>
      </c>
      <c r="U57" s="461">
        <v>-22346944.359999999</v>
      </c>
      <c r="V57" s="461">
        <v>-22346944.359999999</v>
      </c>
    </row>
    <row r="58" spans="1:22" s="455" customFormat="1" ht="12.75" hidden="1" customHeight="1">
      <c r="A58" s="455" t="str">
        <f t="shared" si="0"/>
        <v>60003030000000</v>
      </c>
      <c r="B58" s="455" t="str">
        <f>VLOOKUP(LEFT($C$3:$C$2600,3),Table!$N$2:$O$88,2,FALSE)</f>
        <v>Share premium - ordinary</v>
      </c>
      <c r="C58" s="535" t="str">
        <f t="shared" si="1"/>
        <v>3030000000</v>
      </c>
      <c r="D58" s="455" t="e">
        <f>VLOOKUP(G58,Table!$Q$3:$R$21,2,FALSE)</f>
        <v>#N/A</v>
      </c>
      <c r="E58" s="452" t="s">
        <v>840</v>
      </c>
      <c r="F58" s="452" t="s">
        <v>2102</v>
      </c>
      <c r="G58" s="452" t="s">
        <v>2074</v>
      </c>
      <c r="H58" s="452" t="s">
        <v>260</v>
      </c>
      <c r="I58" s="453" t="s">
        <v>842</v>
      </c>
      <c r="J58" s="453">
        <v>-362500</v>
      </c>
      <c r="K58" s="461">
        <v>-362500</v>
      </c>
      <c r="L58" s="461">
        <v>-362500</v>
      </c>
      <c r="M58" s="461">
        <v>-362500</v>
      </c>
      <c r="N58" s="461">
        <v>-362500</v>
      </c>
      <c r="O58" s="461">
        <v>-362500</v>
      </c>
      <c r="P58" s="461">
        <v>-362500</v>
      </c>
      <c r="Q58" s="461">
        <v>-362500</v>
      </c>
      <c r="R58" s="461">
        <v>-362500</v>
      </c>
      <c r="S58" s="461">
        <v>-362500</v>
      </c>
      <c r="T58" s="461">
        <v>-362500</v>
      </c>
      <c r="U58" s="461">
        <v>-362500</v>
      </c>
      <c r="V58" s="461">
        <v>-362500</v>
      </c>
    </row>
    <row r="59" spans="1:22" s="455" customFormat="1" ht="12.75" hidden="1" customHeight="1">
      <c r="A59" s="455" t="str">
        <f t="shared" si="0"/>
        <v>60004001000000</v>
      </c>
      <c r="B59" s="455" t="str">
        <f>VLOOKUP(LEFT($C$3:$C$2600,3),Table!$N$2:$O$88,2,FALSE)</f>
        <v>3rd Party Revenue</v>
      </c>
      <c r="C59" s="535" t="str">
        <f t="shared" si="1"/>
        <v>4001000000</v>
      </c>
      <c r="D59" s="455" t="e">
        <f>VLOOKUP(G59,Table!$Q$3:$R$21,2,FALSE)</f>
        <v>#N/A</v>
      </c>
      <c r="E59" s="452" t="s">
        <v>902</v>
      </c>
      <c r="F59" s="452" t="s">
        <v>2102</v>
      </c>
      <c r="G59" s="452" t="s">
        <v>2141</v>
      </c>
      <c r="H59" s="452" t="s">
        <v>2142</v>
      </c>
      <c r="I59" s="453" t="s">
        <v>844</v>
      </c>
      <c r="J59" s="453">
        <v>-3702132.2</v>
      </c>
      <c r="K59" s="461">
        <v>-1273583.02</v>
      </c>
      <c r="L59" s="461">
        <v>-1167798.7</v>
      </c>
      <c r="M59" s="461">
        <v>-1260750.48</v>
      </c>
      <c r="N59" s="461">
        <v>0</v>
      </c>
      <c r="O59" s="461">
        <v>0</v>
      </c>
      <c r="P59" s="461">
        <v>0</v>
      </c>
      <c r="Q59" s="461">
        <v>0</v>
      </c>
      <c r="R59" s="461">
        <v>0</v>
      </c>
      <c r="S59" s="461">
        <v>0</v>
      </c>
      <c r="T59" s="461">
        <v>0</v>
      </c>
      <c r="U59" s="461">
        <v>0</v>
      </c>
      <c r="V59" s="461">
        <v>0</v>
      </c>
    </row>
    <row r="60" spans="1:22" s="455" customFormat="1" ht="12.75" hidden="1" customHeight="1">
      <c r="A60" s="455" t="str">
        <f t="shared" si="0"/>
        <v>60004002000000</v>
      </c>
      <c r="B60" s="455" t="str">
        <f>VLOOKUP(LEFT($C$3:$C$2600,3),Table!$N$2:$O$88,2,FALSE)</f>
        <v>3rd Party Revenue</v>
      </c>
      <c r="C60" s="535" t="str">
        <f t="shared" si="1"/>
        <v>4002000000</v>
      </c>
      <c r="D60" s="455" t="e">
        <f>VLOOKUP(G60,Table!$Q$3:$R$21,2,FALSE)</f>
        <v>#N/A</v>
      </c>
      <c r="E60" s="452" t="s">
        <v>902</v>
      </c>
      <c r="F60" s="452" t="s">
        <v>2102</v>
      </c>
      <c r="G60" s="452" t="s">
        <v>2143</v>
      </c>
      <c r="H60" s="452" t="s">
        <v>2144</v>
      </c>
      <c r="I60" s="453" t="s">
        <v>844</v>
      </c>
      <c r="J60" s="453">
        <v>-20772440.16</v>
      </c>
      <c r="K60" s="461">
        <v>-6470291.9100000001</v>
      </c>
      <c r="L60" s="461">
        <v>-6300242.4199999999</v>
      </c>
      <c r="M60" s="461">
        <v>-7886182.0800000001</v>
      </c>
      <c r="N60" s="461">
        <v>0</v>
      </c>
      <c r="O60" s="461">
        <v>0</v>
      </c>
      <c r="P60" s="461">
        <v>0</v>
      </c>
      <c r="Q60" s="461">
        <v>0</v>
      </c>
      <c r="R60" s="461">
        <v>0</v>
      </c>
      <c r="S60" s="461">
        <v>0</v>
      </c>
      <c r="T60" s="461">
        <v>0</v>
      </c>
      <c r="U60" s="461">
        <v>0</v>
      </c>
      <c r="V60" s="461">
        <v>0</v>
      </c>
    </row>
    <row r="61" spans="1:22" s="455" customFormat="1" ht="12.75" hidden="1" customHeight="1">
      <c r="A61" s="455" t="str">
        <f t="shared" si="0"/>
        <v>60004003000000</v>
      </c>
      <c r="B61" s="455" t="str">
        <f>VLOOKUP(LEFT($C$3:$C$2600,3),Table!$N$2:$O$88,2,FALSE)</f>
        <v>3rd Party Revenue</v>
      </c>
      <c r="C61" s="535" t="str">
        <f t="shared" si="1"/>
        <v>4003000000</v>
      </c>
      <c r="D61" s="455" t="e">
        <f>VLOOKUP(G61,Table!$Q$3:$R$21,2,FALSE)</f>
        <v>#N/A</v>
      </c>
      <c r="E61" s="452" t="s">
        <v>902</v>
      </c>
      <c r="F61" s="452" t="s">
        <v>2102</v>
      </c>
      <c r="G61" s="452" t="s">
        <v>2145</v>
      </c>
      <c r="H61" s="452" t="s">
        <v>2146</v>
      </c>
      <c r="I61" s="453" t="s">
        <v>844</v>
      </c>
      <c r="J61" s="453">
        <v>-10809655.77</v>
      </c>
      <c r="K61" s="461">
        <v>-4129933.56</v>
      </c>
      <c r="L61" s="461">
        <v>-3783140.24</v>
      </c>
      <c r="M61" s="461">
        <v>-2896581.97</v>
      </c>
      <c r="N61" s="461">
        <v>0</v>
      </c>
      <c r="O61" s="461">
        <v>0</v>
      </c>
      <c r="P61" s="461">
        <v>0</v>
      </c>
      <c r="Q61" s="461">
        <v>0</v>
      </c>
      <c r="R61" s="461">
        <v>0</v>
      </c>
      <c r="S61" s="461">
        <v>0</v>
      </c>
      <c r="T61" s="461">
        <v>0</v>
      </c>
      <c r="U61" s="461">
        <v>0</v>
      </c>
      <c r="V61" s="461">
        <v>0</v>
      </c>
    </row>
    <row r="62" spans="1:22" s="455" customFormat="1" ht="12.75" hidden="1" customHeight="1">
      <c r="A62" s="455" t="str">
        <f t="shared" si="0"/>
        <v>60004003010000</v>
      </c>
      <c r="B62" s="455" t="str">
        <f>VLOOKUP(LEFT($C$3:$C$2600,3),Table!$N$2:$O$88,2,FALSE)</f>
        <v>3rd Party Revenue</v>
      </c>
      <c r="C62" s="535" t="str">
        <f t="shared" si="1"/>
        <v>4003010000</v>
      </c>
      <c r="D62" s="455" t="e">
        <f>VLOOKUP(G62,Table!$Q$3:$R$21,2,FALSE)</f>
        <v>#N/A</v>
      </c>
      <c r="E62" s="452" t="s">
        <v>902</v>
      </c>
      <c r="F62" s="452" t="s">
        <v>2102</v>
      </c>
      <c r="G62" s="452" t="s">
        <v>2147</v>
      </c>
      <c r="H62" s="452" t="s">
        <v>2148</v>
      </c>
      <c r="I62" s="453" t="s">
        <v>844</v>
      </c>
      <c r="J62" s="453">
        <v>43265.84</v>
      </c>
      <c r="K62" s="461">
        <v>15900.75</v>
      </c>
      <c r="L62" s="461">
        <v>15660.64</v>
      </c>
      <c r="M62" s="461">
        <v>11704.45</v>
      </c>
      <c r="N62" s="461">
        <v>0</v>
      </c>
      <c r="O62" s="461">
        <v>0</v>
      </c>
      <c r="P62" s="461">
        <v>0</v>
      </c>
      <c r="Q62" s="461">
        <v>0</v>
      </c>
      <c r="R62" s="461">
        <v>0</v>
      </c>
      <c r="S62" s="461">
        <v>0</v>
      </c>
      <c r="T62" s="461">
        <v>0</v>
      </c>
      <c r="U62" s="461">
        <v>0</v>
      </c>
      <c r="V62" s="461">
        <v>0</v>
      </c>
    </row>
    <row r="63" spans="1:22" s="455" customFormat="1" ht="12.75" hidden="1" customHeight="1">
      <c r="A63" s="455" t="str">
        <f t="shared" si="0"/>
        <v>60004031000000</v>
      </c>
      <c r="B63" s="455" t="str">
        <f>VLOOKUP(LEFT($C$3:$C$2600,3),Table!$N$2:$O$88,2,FALSE)</f>
        <v>Freight</v>
      </c>
      <c r="C63" s="535" t="str">
        <f t="shared" si="1"/>
        <v>4031000000</v>
      </c>
      <c r="D63" s="455" t="e">
        <f>VLOOKUP(G63,Table!$Q$3:$R$21,2,FALSE)</f>
        <v>#N/A</v>
      </c>
      <c r="E63" s="452" t="s">
        <v>902</v>
      </c>
      <c r="F63" s="452" t="s">
        <v>2102</v>
      </c>
      <c r="G63" s="452" t="s">
        <v>2149</v>
      </c>
      <c r="H63" s="452" t="s">
        <v>2150</v>
      </c>
      <c r="I63" s="453" t="s">
        <v>844</v>
      </c>
      <c r="J63" s="453">
        <v>5699.27</v>
      </c>
      <c r="K63" s="461">
        <v>2166.98</v>
      </c>
      <c r="L63" s="461">
        <v>1678.01</v>
      </c>
      <c r="M63" s="461">
        <v>1854.28</v>
      </c>
      <c r="N63" s="461">
        <v>0</v>
      </c>
      <c r="O63" s="461">
        <v>0</v>
      </c>
      <c r="P63" s="461">
        <v>0</v>
      </c>
      <c r="Q63" s="461">
        <v>0</v>
      </c>
      <c r="R63" s="461">
        <v>0</v>
      </c>
      <c r="S63" s="461">
        <v>0</v>
      </c>
      <c r="T63" s="461">
        <v>0</v>
      </c>
      <c r="U63" s="461">
        <v>0</v>
      </c>
      <c r="V63" s="461">
        <v>0</v>
      </c>
    </row>
    <row r="64" spans="1:22" s="455" customFormat="1" ht="12.75" hidden="1" customHeight="1">
      <c r="A64" s="455" t="str">
        <f t="shared" si="0"/>
        <v>60004032000000</v>
      </c>
      <c r="B64" s="455" t="str">
        <f>VLOOKUP(LEFT($C$3:$C$2600,3),Table!$N$2:$O$88,2,FALSE)</f>
        <v>Freight</v>
      </c>
      <c r="C64" s="535" t="str">
        <f t="shared" si="1"/>
        <v>4032000000</v>
      </c>
      <c r="D64" s="455" t="e">
        <f>VLOOKUP(G64,Table!$Q$3:$R$21,2,FALSE)</f>
        <v>#N/A</v>
      </c>
      <c r="E64" s="452" t="s">
        <v>902</v>
      </c>
      <c r="F64" s="452" t="s">
        <v>2102</v>
      </c>
      <c r="G64" s="452" t="s">
        <v>2151</v>
      </c>
      <c r="H64" s="452" t="s">
        <v>2152</v>
      </c>
      <c r="I64" s="453" t="s">
        <v>844</v>
      </c>
      <c r="J64" s="453">
        <v>11709.54</v>
      </c>
      <c r="K64" s="461">
        <v>3875.13</v>
      </c>
      <c r="L64" s="461">
        <v>3758.61</v>
      </c>
      <c r="M64" s="461">
        <v>4075.8</v>
      </c>
      <c r="N64" s="461">
        <v>0</v>
      </c>
      <c r="O64" s="461">
        <v>0</v>
      </c>
      <c r="P64" s="461">
        <v>0</v>
      </c>
      <c r="Q64" s="461">
        <v>0</v>
      </c>
      <c r="R64" s="461">
        <v>0</v>
      </c>
      <c r="S64" s="461">
        <v>0</v>
      </c>
      <c r="T64" s="461">
        <v>0</v>
      </c>
      <c r="U64" s="461">
        <v>0</v>
      </c>
      <c r="V64" s="461">
        <v>0</v>
      </c>
    </row>
    <row r="65" spans="1:22" s="455" customFormat="1" ht="12.75" hidden="1" customHeight="1">
      <c r="A65" s="455" t="str">
        <f t="shared" si="0"/>
        <v>60004041000000</v>
      </c>
      <c r="B65" s="455" t="str">
        <f>VLOOKUP(LEFT($C$3:$C$2600,3),Table!$N$2:$O$88,2,FALSE)</f>
        <v>Freight</v>
      </c>
      <c r="C65" s="535" t="str">
        <f t="shared" si="1"/>
        <v>4041000000</v>
      </c>
      <c r="D65" s="455" t="e">
        <f>VLOOKUP(G65,Table!$Q$3:$R$21,2,FALSE)</f>
        <v>#N/A</v>
      </c>
      <c r="E65" s="452" t="s">
        <v>902</v>
      </c>
      <c r="F65" s="452" t="s">
        <v>2102</v>
      </c>
      <c r="G65" s="452" t="s">
        <v>2153</v>
      </c>
      <c r="H65" s="452" t="s">
        <v>2154</v>
      </c>
      <c r="I65" s="453" t="s">
        <v>844</v>
      </c>
      <c r="J65" s="453">
        <v>3416.42</v>
      </c>
      <c r="K65" s="461">
        <v>7716.42</v>
      </c>
      <c r="L65" s="461">
        <v>0</v>
      </c>
      <c r="M65" s="461">
        <v>-4300</v>
      </c>
      <c r="N65" s="461">
        <v>0</v>
      </c>
      <c r="O65" s="461">
        <v>0</v>
      </c>
      <c r="P65" s="461">
        <v>0</v>
      </c>
      <c r="Q65" s="461">
        <v>0</v>
      </c>
      <c r="R65" s="461">
        <v>0</v>
      </c>
      <c r="S65" s="461">
        <v>0</v>
      </c>
      <c r="T65" s="461">
        <v>0</v>
      </c>
      <c r="U65" s="461">
        <v>0</v>
      </c>
      <c r="V65" s="461">
        <v>0</v>
      </c>
    </row>
    <row r="66" spans="1:22" s="455" customFormat="1" ht="12.75" hidden="1" customHeight="1">
      <c r="A66" s="455" t="str">
        <f t="shared" si="0"/>
        <v>60004042000000</v>
      </c>
      <c r="B66" s="455" t="str">
        <f>VLOOKUP(LEFT($C$3:$C$2600,3),Table!$N$2:$O$88,2,FALSE)</f>
        <v>Freight</v>
      </c>
      <c r="C66" s="535" t="str">
        <f t="shared" si="1"/>
        <v>4042000000</v>
      </c>
      <c r="D66" s="455" t="e">
        <f>VLOOKUP(G66,Table!$Q$3:$R$21,2,FALSE)</f>
        <v>#N/A</v>
      </c>
      <c r="E66" s="452" t="s">
        <v>902</v>
      </c>
      <c r="F66" s="452" t="s">
        <v>2102</v>
      </c>
      <c r="G66" s="452" t="s">
        <v>2155</v>
      </c>
      <c r="H66" s="452" t="s">
        <v>2156</v>
      </c>
      <c r="I66" s="453" t="s">
        <v>844</v>
      </c>
      <c r="J66" s="453">
        <v>123335.16</v>
      </c>
      <c r="K66" s="461">
        <v>42143.41</v>
      </c>
      <c r="L66" s="461">
        <v>34191.75</v>
      </c>
      <c r="M66" s="461">
        <v>47000</v>
      </c>
      <c r="N66" s="461">
        <v>0</v>
      </c>
      <c r="O66" s="461">
        <v>0</v>
      </c>
      <c r="P66" s="461">
        <v>0</v>
      </c>
      <c r="Q66" s="461">
        <v>0</v>
      </c>
      <c r="R66" s="461">
        <v>0</v>
      </c>
      <c r="S66" s="461">
        <v>0</v>
      </c>
      <c r="T66" s="461">
        <v>0</v>
      </c>
      <c r="U66" s="461">
        <v>0</v>
      </c>
      <c r="V66" s="461">
        <v>0</v>
      </c>
    </row>
    <row r="67" spans="1:22" s="455" customFormat="1" ht="12.75" hidden="1" customHeight="1">
      <c r="A67" s="455" t="str">
        <f t="shared" si="0"/>
        <v>60004043000000</v>
      </c>
      <c r="B67" s="455" t="str">
        <f>VLOOKUP(LEFT($C$3:$C$2600,3),Table!$N$2:$O$88,2,FALSE)</f>
        <v>Freight</v>
      </c>
      <c r="C67" s="535" t="str">
        <f t="shared" si="1"/>
        <v>4043000000</v>
      </c>
      <c r="D67" s="455" t="e">
        <f>VLOOKUP(G67,Table!$Q$3:$R$21,2,FALSE)</f>
        <v>#N/A</v>
      </c>
      <c r="E67" s="452" t="s">
        <v>902</v>
      </c>
      <c r="F67" s="452" t="s">
        <v>2102</v>
      </c>
      <c r="G67" s="452" t="s">
        <v>2157</v>
      </c>
      <c r="H67" s="452" t="s">
        <v>2158</v>
      </c>
      <c r="I67" s="453" t="s">
        <v>844</v>
      </c>
      <c r="J67" s="453">
        <v>15214.06</v>
      </c>
      <c r="K67" s="461">
        <v>6914.06</v>
      </c>
      <c r="L67" s="461">
        <v>0</v>
      </c>
      <c r="M67" s="461">
        <v>8300</v>
      </c>
      <c r="N67" s="461">
        <v>0</v>
      </c>
      <c r="O67" s="461">
        <v>0</v>
      </c>
      <c r="P67" s="461">
        <v>0</v>
      </c>
      <c r="Q67" s="461">
        <v>0</v>
      </c>
      <c r="R67" s="461">
        <v>0</v>
      </c>
      <c r="S67" s="461">
        <v>0</v>
      </c>
      <c r="T67" s="461">
        <v>0</v>
      </c>
      <c r="U67" s="461">
        <v>0</v>
      </c>
      <c r="V67" s="461">
        <v>0</v>
      </c>
    </row>
    <row r="68" spans="1:22" s="455" customFormat="1" ht="12.75" hidden="1" customHeight="1">
      <c r="A68" s="455" t="str">
        <f t="shared" ref="A68:A131" si="2">F68&amp;G68</f>
        <v>60005101000000</v>
      </c>
      <c r="B68" s="455" t="str">
        <f>VLOOKUP(LEFT($C$3:$C$2600,3),Table!$N$2:$O$88,2,FALSE)</f>
        <v>3rd Party Contracted Metal</v>
      </c>
      <c r="C68" s="535" t="str">
        <f t="shared" ref="C68:C131" si="3">IF(ISNA(D68),G68,D68)</f>
        <v>5101000000</v>
      </c>
      <c r="D68" s="455" t="e">
        <f>VLOOKUP(G68,Table!$Q$3:$R$21,2,FALSE)</f>
        <v>#N/A</v>
      </c>
      <c r="E68" s="452" t="s">
        <v>902</v>
      </c>
      <c r="F68" s="452" t="s">
        <v>2102</v>
      </c>
      <c r="G68" s="452" t="s">
        <v>2159</v>
      </c>
      <c r="H68" s="452" t="s">
        <v>2160</v>
      </c>
      <c r="I68" s="453" t="s">
        <v>844</v>
      </c>
      <c r="J68" s="453">
        <v>30579194.059999999</v>
      </c>
      <c r="K68" s="461">
        <v>10082305.369999999</v>
      </c>
      <c r="L68" s="461">
        <v>9888776.4900000002</v>
      </c>
      <c r="M68" s="461">
        <v>10608112.199999999</v>
      </c>
      <c r="N68" s="461">
        <v>0</v>
      </c>
      <c r="O68" s="461">
        <v>0</v>
      </c>
      <c r="P68" s="461">
        <v>0</v>
      </c>
      <c r="Q68" s="461">
        <v>0</v>
      </c>
      <c r="R68" s="461">
        <v>0</v>
      </c>
      <c r="S68" s="461">
        <v>0</v>
      </c>
      <c r="T68" s="461">
        <v>0</v>
      </c>
      <c r="U68" s="461">
        <v>0</v>
      </c>
      <c r="V68" s="461">
        <v>0</v>
      </c>
    </row>
    <row r="69" spans="1:22" s="455" customFormat="1" ht="12.75" hidden="1" customHeight="1">
      <c r="A69" s="455" t="str">
        <f t="shared" si="2"/>
        <v>60005111000000</v>
      </c>
      <c r="B69" s="455" t="str">
        <f>VLOOKUP(LEFT($C$3:$C$2600,3),Table!$N$2:$O$88,2,FALSE)</f>
        <v>Direct cost</v>
      </c>
      <c r="C69" s="535" t="str">
        <f t="shared" si="3"/>
        <v>5111000000</v>
      </c>
      <c r="D69" s="455" t="e">
        <f>VLOOKUP(G69,Table!$Q$3:$R$21,2,FALSE)</f>
        <v>#N/A</v>
      </c>
      <c r="E69" s="452" t="s">
        <v>902</v>
      </c>
      <c r="F69" s="452" t="s">
        <v>2102</v>
      </c>
      <c r="G69" s="452" t="s">
        <v>2161</v>
      </c>
      <c r="H69" s="452" t="s">
        <v>2162</v>
      </c>
      <c r="I69" s="453" t="s">
        <v>844</v>
      </c>
      <c r="J69" s="453">
        <v>2965995.34</v>
      </c>
      <c r="K69" s="461">
        <v>980895.98</v>
      </c>
      <c r="L69" s="461">
        <v>1055966.17</v>
      </c>
      <c r="M69" s="461">
        <v>929133.19</v>
      </c>
      <c r="N69" s="461">
        <v>0</v>
      </c>
      <c r="O69" s="461">
        <v>0</v>
      </c>
      <c r="P69" s="461">
        <v>0</v>
      </c>
      <c r="Q69" s="461">
        <v>0</v>
      </c>
      <c r="R69" s="461">
        <v>0</v>
      </c>
      <c r="S69" s="461">
        <v>0</v>
      </c>
      <c r="T69" s="461">
        <v>0</v>
      </c>
      <c r="U69" s="461">
        <v>0</v>
      </c>
      <c r="V69" s="461">
        <v>0</v>
      </c>
    </row>
    <row r="70" spans="1:22" s="455" customFormat="1" ht="12.75" hidden="1" customHeight="1">
      <c r="A70" s="455" t="str">
        <f t="shared" si="2"/>
        <v>60005121000000</v>
      </c>
      <c r="B70" s="455" t="str">
        <f>VLOOKUP(LEFT($C$3:$C$2600,3),Table!$N$2:$O$88,2,FALSE)</f>
        <v>Period cost</v>
      </c>
      <c r="C70" s="535" t="str">
        <f t="shared" si="3"/>
        <v>5121000000</v>
      </c>
      <c r="D70" s="455" t="e">
        <f>VLOOKUP(G70,Table!$Q$3:$R$21,2,FALSE)</f>
        <v>#N/A</v>
      </c>
      <c r="E70" s="452" t="s">
        <v>902</v>
      </c>
      <c r="F70" s="452" t="s">
        <v>2102</v>
      </c>
      <c r="G70" s="452" t="s">
        <v>2163</v>
      </c>
      <c r="H70" s="452" t="s">
        <v>2164</v>
      </c>
      <c r="I70" s="453" t="s">
        <v>844</v>
      </c>
      <c r="J70" s="453">
        <v>1330715.28</v>
      </c>
      <c r="K70" s="461">
        <v>411238.22</v>
      </c>
      <c r="L70" s="461">
        <v>428732.86</v>
      </c>
      <c r="M70" s="461">
        <v>490744.2</v>
      </c>
      <c r="N70" s="461">
        <v>0</v>
      </c>
      <c r="O70" s="461">
        <v>0</v>
      </c>
      <c r="P70" s="461">
        <v>0</v>
      </c>
      <c r="Q70" s="461">
        <v>0</v>
      </c>
      <c r="R70" s="461">
        <v>0</v>
      </c>
      <c r="S70" s="461">
        <v>0</v>
      </c>
      <c r="T70" s="461">
        <v>0</v>
      </c>
      <c r="U70" s="461">
        <v>0</v>
      </c>
      <c r="V70" s="461">
        <v>0</v>
      </c>
    </row>
    <row r="71" spans="1:22" s="455" customFormat="1" ht="12.75" hidden="1" customHeight="1">
      <c r="A71" s="455" t="str">
        <f t="shared" si="2"/>
        <v>60005201000000</v>
      </c>
      <c r="B71" s="455" t="str">
        <f>VLOOKUP(LEFT($C$3:$C$2600,3),Table!$N$2:$O$88,2,FALSE)</f>
        <v>3rd Party Other manufacturing cost</v>
      </c>
      <c r="C71" s="535" t="str">
        <f t="shared" si="3"/>
        <v>5201000000</v>
      </c>
      <c r="D71" s="455" t="e">
        <f>VLOOKUP(G71,Table!$Q$3:$R$21,2,FALSE)</f>
        <v>#N/A</v>
      </c>
      <c r="E71" s="452" t="s">
        <v>902</v>
      </c>
      <c r="F71" s="452" t="s">
        <v>2102</v>
      </c>
      <c r="G71" s="452" t="s">
        <v>2165</v>
      </c>
      <c r="H71" s="452" t="s">
        <v>2166</v>
      </c>
      <c r="I71" s="453" t="s">
        <v>844</v>
      </c>
      <c r="J71" s="453">
        <v>43000</v>
      </c>
      <c r="K71" s="461">
        <v>0</v>
      </c>
      <c r="L71" s="461">
        <v>43000</v>
      </c>
      <c r="M71" s="461">
        <v>0</v>
      </c>
      <c r="N71" s="461">
        <v>0</v>
      </c>
      <c r="O71" s="461">
        <v>0</v>
      </c>
      <c r="P71" s="461">
        <v>0</v>
      </c>
      <c r="Q71" s="461">
        <v>0</v>
      </c>
      <c r="R71" s="461">
        <v>0</v>
      </c>
      <c r="S71" s="461">
        <v>0</v>
      </c>
      <c r="T71" s="461">
        <v>0</v>
      </c>
      <c r="U71" s="461">
        <v>0</v>
      </c>
      <c r="V71" s="461">
        <v>0</v>
      </c>
    </row>
    <row r="72" spans="1:22" s="455" customFormat="1" ht="12.75" hidden="1" customHeight="1">
      <c r="A72" s="455" t="str">
        <f t="shared" si="2"/>
        <v>60005201200000</v>
      </c>
      <c r="B72" s="455" t="str">
        <f>VLOOKUP(LEFT($C$3:$C$2600,3),Table!$N$2:$O$88,2,FALSE)</f>
        <v>3rd Party Other manufacturing cost</v>
      </c>
      <c r="C72" s="535" t="str">
        <f t="shared" si="3"/>
        <v>5201200000</v>
      </c>
      <c r="D72" s="455" t="e">
        <f>VLOOKUP(G72,Table!$Q$3:$R$21,2,FALSE)</f>
        <v>#N/A</v>
      </c>
      <c r="E72" s="452" t="s">
        <v>902</v>
      </c>
      <c r="F72" s="452" t="s">
        <v>2102</v>
      </c>
      <c r="G72" s="452" t="s">
        <v>905</v>
      </c>
      <c r="H72" s="452" t="s">
        <v>2167</v>
      </c>
      <c r="I72" s="453" t="s">
        <v>844</v>
      </c>
      <c r="J72" s="453">
        <v>-15347.26</v>
      </c>
      <c r="K72" s="461">
        <v>-21097.98</v>
      </c>
      <c r="L72" s="461">
        <v>2896.12</v>
      </c>
      <c r="M72" s="461">
        <v>2854.6</v>
      </c>
      <c r="N72" s="461">
        <v>0</v>
      </c>
      <c r="O72" s="461">
        <v>0</v>
      </c>
      <c r="P72" s="461">
        <v>0</v>
      </c>
      <c r="Q72" s="461">
        <v>0</v>
      </c>
      <c r="R72" s="461">
        <v>0</v>
      </c>
      <c r="S72" s="461">
        <v>0</v>
      </c>
      <c r="T72" s="461">
        <v>0</v>
      </c>
      <c r="U72" s="461">
        <v>0</v>
      </c>
      <c r="V72" s="461">
        <v>0</v>
      </c>
    </row>
    <row r="73" spans="1:22" s="455" customFormat="1" ht="12.75" hidden="1" customHeight="1">
      <c r="A73" s="455" t="str">
        <f t="shared" si="2"/>
        <v>60005201300000</v>
      </c>
      <c r="B73" s="455" t="str">
        <f>VLOOKUP(LEFT($C$3:$C$2600,3),Table!$N$2:$O$88,2,FALSE)</f>
        <v>3rd Party Other manufacturing cost</v>
      </c>
      <c r="C73" s="535" t="str">
        <f t="shared" si="3"/>
        <v>5201300000</v>
      </c>
      <c r="D73" s="455" t="e">
        <f>VLOOKUP(G73,Table!$Q$3:$R$21,2,FALSE)</f>
        <v>#N/A</v>
      </c>
      <c r="E73" s="452" t="s">
        <v>902</v>
      </c>
      <c r="F73" s="452" t="s">
        <v>2102</v>
      </c>
      <c r="G73" s="452" t="s">
        <v>2168</v>
      </c>
      <c r="H73" s="452" t="s">
        <v>2169</v>
      </c>
      <c r="I73" s="453" t="s">
        <v>844</v>
      </c>
      <c r="J73" s="453">
        <v>28000</v>
      </c>
      <c r="K73" s="461">
        <v>0</v>
      </c>
      <c r="L73" s="461">
        <v>19000</v>
      </c>
      <c r="M73" s="461">
        <v>9000</v>
      </c>
      <c r="N73" s="461">
        <v>0</v>
      </c>
      <c r="O73" s="461">
        <v>0</v>
      </c>
      <c r="P73" s="461">
        <v>0</v>
      </c>
      <c r="Q73" s="461">
        <v>0</v>
      </c>
      <c r="R73" s="461">
        <v>0</v>
      </c>
      <c r="S73" s="461">
        <v>0</v>
      </c>
      <c r="T73" s="461">
        <v>0</v>
      </c>
      <c r="U73" s="461">
        <v>0</v>
      </c>
      <c r="V73" s="461">
        <v>0</v>
      </c>
    </row>
    <row r="74" spans="1:22" s="455" customFormat="1" ht="12.75" hidden="1" customHeight="1">
      <c r="A74" s="455" t="str">
        <f t="shared" si="2"/>
        <v>60005201400000</v>
      </c>
      <c r="B74" s="455" t="str">
        <f>VLOOKUP(LEFT($C$3:$C$2600,3),Table!$N$2:$O$88,2,FALSE)</f>
        <v>3rd Party Other manufacturing cost</v>
      </c>
      <c r="C74" s="535" t="str">
        <f t="shared" si="3"/>
        <v>5201400000</v>
      </c>
      <c r="D74" s="455" t="e">
        <f>VLOOKUP(G74,Table!$Q$3:$R$21,2,FALSE)</f>
        <v>#N/A</v>
      </c>
      <c r="E74" s="452" t="s">
        <v>902</v>
      </c>
      <c r="F74" s="452" t="s">
        <v>2102</v>
      </c>
      <c r="G74" s="452" t="s">
        <v>907</v>
      </c>
      <c r="H74" s="452" t="s">
        <v>2170</v>
      </c>
      <c r="I74" s="453" t="s">
        <v>844</v>
      </c>
      <c r="J74" s="453">
        <v>31143.95</v>
      </c>
      <c r="K74" s="461">
        <v>0</v>
      </c>
      <c r="L74" s="461">
        <v>31143.95</v>
      </c>
      <c r="M74" s="461">
        <v>0</v>
      </c>
      <c r="N74" s="461">
        <v>0</v>
      </c>
      <c r="O74" s="461">
        <v>0</v>
      </c>
      <c r="P74" s="461">
        <v>0</v>
      </c>
      <c r="Q74" s="461">
        <v>0</v>
      </c>
      <c r="R74" s="461">
        <v>0</v>
      </c>
      <c r="S74" s="461">
        <v>0</v>
      </c>
      <c r="T74" s="461">
        <v>0</v>
      </c>
      <c r="U74" s="461">
        <v>0</v>
      </c>
      <c r="V74" s="461">
        <v>0</v>
      </c>
    </row>
    <row r="75" spans="1:22" s="455" customFormat="1" ht="12.75" hidden="1" customHeight="1">
      <c r="A75" s="455" t="str">
        <f t="shared" si="2"/>
        <v>60005201500000</v>
      </c>
      <c r="B75" s="455" t="str">
        <f>VLOOKUP(LEFT($C$3:$C$2600,3),Table!$N$2:$O$88,2,FALSE)</f>
        <v>3rd Party Other manufacturing cost</v>
      </c>
      <c r="C75" s="535" t="str">
        <f t="shared" si="3"/>
        <v>5201500000</v>
      </c>
      <c r="D75" s="455" t="e">
        <f>VLOOKUP(G75,Table!$Q$3:$R$21,2,FALSE)</f>
        <v>#N/A</v>
      </c>
      <c r="E75" s="452" t="s">
        <v>902</v>
      </c>
      <c r="F75" s="452" t="s">
        <v>2102</v>
      </c>
      <c r="G75" s="452" t="s">
        <v>909</v>
      </c>
      <c r="H75" s="452" t="s">
        <v>2171</v>
      </c>
      <c r="I75" s="453" t="s">
        <v>844</v>
      </c>
      <c r="J75" s="453">
        <v>0</v>
      </c>
      <c r="K75" s="461">
        <v>30015.79</v>
      </c>
      <c r="L75" s="461">
        <v>34530.31</v>
      </c>
      <c r="M75" s="461">
        <v>-64546.1</v>
      </c>
      <c r="N75" s="461">
        <v>0</v>
      </c>
      <c r="O75" s="461">
        <v>0</v>
      </c>
      <c r="P75" s="461">
        <v>0</v>
      </c>
      <c r="Q75" s="461">
        <v>0</v>
      </c>
      <c r="R75" s="461">
        <v>0</v>
      </c>
      <c r="S75" s="461">
        <v>0</v>
      </c>
      <c r="T75" s="461">
        <v>0</v>
      </c>
      <c r="U75" s="461">
        <v>0</v>
      </c>
      <c r="V75" s="461">
        <v>0</v>
      </c>
    </row>
    <row r="76" spans="1:22" s="455" customFormat="1" ht="12.75" hidden="1" customHeight="1">
      <c r="A76" s="455" t="str">
        <f t="shared" si="2"/>
        <v>60005201600000</v>
      </c>
      <c r="B76" s="455" t="str">
        <f>VLOOKUP(LEFT($C$3:$C$2600,3),Table!$N$2:$O$88,2,FALSE)</f>
        <v>3rd Party Other manufacturing cost</v>
      </c>
      <c r="C76" s="535" t="str">
        <f t="shared" si="3"/>
        <v>5201600000</v>
      </c>
      <c r="D76" s="455" t="e">
        <f>VLOOKUP(G76,Table!$Q$3:$R$21,2,FALSE)</f>
        <v>#N/A</v>
      </c>
      <c r="E76" s="452" t="s">
        <v>902</v>
      </c>
      <c r="F76" s="452" t="s">
        <v>2102</v>
      </c>
      <c r="G76" s="452" t="s">
        <v>2513</v>
      </c>
      <c r="H76" s="452" t="s">
        <v>2514</v>
      </c>
      <c r="I76" s="453" t="s">
        <v>844</v>
      </c>
      <c r="J76" s="453">
        <v>22240</v>
      </c>
      <c r="K76" s="461">
        <v>920</v>
      </c>
      <c r="L76" s="461">
        <v>0</v>
      </c>
      <c r="M76" s="461">
        <v>21320</v>
      </c>
      <c r="N76" s="461">
        <v>0</v>
      </c>
      <c r="O76" s="461">
        <v>0</v>
      </c>
      <c r="P76" s="461">
        <v>0</v>
      </c>
      <c r="Q76" s="461">
        <v>0</v>
      </c>
      <c r="R76" s="461">
        <v>0</v>
      </c>
      <c r="S76" s="461">
        <v>0</v>
      </c>
      <c r="T76" s="461">
        <v>0</v>
      </c>
      <c r="U76" s="461">
        <v>0</v>
      </c>
      <c r="V76" s="461">
        <v>0</v>
      </c>
    </row>
    <row r="77" spans="1:22" s="455" customFormat="1" ht="12.75" hidden="1" customHeight="1">
      <c r="A77" s="455" t="str">
        <f t="shared" si="2"/>
        <v>60005201700000</v>
      </c>
      <c r="B77" s="455" t="str">
        <f>VLOOKUP(LEFT($C$3:$C$2600,3),Table!$N$2:$O$88,2,FALSE)</f>
        <v>Interco OME</v>
      </c>
      <c r="C77" s="535">
        <f t="shared" si="3"/>
        <v>521</v>
      </c>
      <c r="D77" s="455">
        <f>VLOOKUP(G77,Table!$Q$3:$R$21,2,FALSE)</f>
        <v>521</v>
      </c>
      <c r="E77" s="452" t="s">
        <v>902</v>
      </c>
      <c r="F77" s="452" t="s">
        <v>2102</v>
      </c>
      <c r="G77" s="452" t="s">
        <v>911</v>
      </c>
      <c r="H77" s="452" t="s">
        <v>2172</v>
      </c>
      <c r="I77" s="453" t="s">
        <v>844</v>
      </c>
      <c r="J77" s="453">
        <v>153000</v>
      </c>
      <c r="K77" s="461">
        <v>51000</v>
      </c>
      <c r="L77" s="461">
        <v>51000</v>
      </c>
      <c r="M77" s="461">
        <v>51000</v>
      </c>
      <c r="N77" s="461">
        <v>0</v>
      </c>
      <c r="O77" s="461">
        <v>0</v>
      </c>
      <c r="P77" s="461">
        <v>0</v>
      </c>
      <c r="Q77" s="461">
        <v>0</v>
      </c>
      <c r="R77" s="461">
        <v>0</v>
      </c>
      <c r="S77" s="461">
        <v>0</v>
      </c>
      <c r="T77" s="461">
        <v>0</v>
      </c>
      <c r="U77" s="461">
        <v>0</v>
      </c>
      <c r="V77" s="461">
        <v>0</v>
      </c>
    </row>
    <row r="78" spans="1:22" s="455" customFormat="1" ht="12.75" hidden="1" customHeight="1">
      <c r="A78" s="455" t="str">
        <f t="shared" si="2"/>
        <v>60005201900000</v>
      </c>
      <c r="B78" s="455" t="str">
        <f>VLOOKUP(LEFT($C$3:$C$2600,3),Table!$N$2:$O$88,2,FALSE)</f>
        <v>3rd Party Other manufacturing cost</v>
      </c>
      <c r="C78" s="535" t="str">
        <f t="shared" si="3"/>
        <v>5201900000</v>
      </c>
      <c r="D78" s="455" t="e">
        <f>VLOOKUP(G78,Table!$Q$3:$R$21,2,FALSE)</f>
        <v>#N/A</v>
      </c>
      <c r="E78" s="452" t="s">
        <v>902</v>
      </c>
      <c r="F78" s="452" t="s">
        <v>2102</v>
      </c>
      <c r="G78" s="452" t="s">
        <v>2602</v>
      </c>
      <c r="H78" s="452" t="s">
        <v>2603</v>
      </c>
      <c r="I78" s="453" t="s">
        <v>844</v>
      </c>
      <c r="J78" s="453">
        <v>1036.53</v>
      </c>
      <c r="K78" s="461">
        <v>0</v>
      </c>
      <c r="L78" s="461">
        <v>0</v>
      </c>
      <c r="M78" s="461">
        <v>1036.53</v>
      </c>
      <c r="N78" s="461">
        <v>0</v>
      </c>
      <c r="O78" s="461">
        <v>0</v>
      </c>
      <c r="P78" s="461">
        <v>0</v>
      </c>
      <c r="Q78" s="461">
        <v>0</v>
      </c>
      <c r="R78" s="461">
        <v>0</v>
      </c>
      <c r="S78" s="461">
        <v>0</v>
      </c>
      <c r="T78" s="461">
        <v>0</v>
      </c>
      <c r="U78" s="461">
        <v>0</v>
      </c>
      <c r="V78" s="461">
        <v>0</v>
      </c>
    </row>
    <row r="79" spans="1:22" s="455" customFormat="1" ht="12.75" hidden="1" customHeight="1">
      <c r="A79" s="455" t="str">
        <f t="shared" si="2"/>
        <v>60005202000000</v>
      </c>
      <c r="B79" s="455" t="str">
        <f>VLOOKUP(LEFT($C$3:$C$2600,3),Table!$N$2:$O$88,2,FALSE)</f>
        <v>3rd Party Other manufacturing cost</v>
      </c>
      <c r="C79" s="535" t="str">
        <f t="shared" si="3"/>
        <v>5202000000</v>
      </c>
      <c r="D79" s="455" t="e">
        <f>VLOOKUP(G79,Table!$Q$3:$R$21,2,FALSE)</f>
        <v>#N/A</v>
      </c>
      <c r="E79" s="452" t="s">
        <v>902</v>
      </c>
      <c r="F79" s="452" t="s">
        <v>2102</v>
      </c>
      <c r="G79" s="452" t="s">
        <v>2604</v>
      </c>
      <c r="H79" s="452" t="s">
        <v>2605</v>
      </c>
      <c r="I79" s="453" t="s">
        <v>844</v>
      </c>
      <c r="J79" s="453">
        <v>-31000</v>
      </c>
      <c r="K79" s="461">
        <v>0</v>
      </c>
      <c r="L79" s="461">
        <v>0</v>
      </c>
      <c r="M79" s="461">
        <v>-31000</v>
      </c>
      <c r="N79" s="461">
        <v>0</v>
      </c>
      <c r="O79" s="461">
        <v>0</v>
      </c>
      <c r="P79" s="461">
        <v>0</v>
      </c>
      <c r="Q79" s="461">
        <v>0</v>
      </c>
      <c r="R79" s="461">
        <v>0</v>
      </c>
      <c r="S79" s="461">
        <v>0</v>
      </c>
      <c r="T79" s="461">
        <v>0</v>
      </c>
      <c r="U79" s="461">
        <v>0</v>
      </c>
      <c r="V79" s="461">
        <v>0</v>
      </c>
    </row>
    <row r="80" spans="1:22" s="455" customFormat="1" hidden="1">
      <c r="A80" s="455" t="str">
        <f t="shared" si="2"/>
        <v>60005202100000</v>
      </c>
      <c r="B80" s="455" t="str">
        <f>VLOOKUP(LEFT($C$3:$C$2600,3),Table!$N$2:$O$88,2,FALSE)</f>
        <v>3rd Party Other manufacturing cost</v>
      </c>
      <c r="C80" s="535" t="str">
        <f t="shared" si="3"/>
        <v>5202100000</v>
      </c>
      <c r="D80" s="455" t="e">
        <f>VLOOKUP(G80,Table!$Q$3:$R$21,2,FALSE)</f>
        <v>#N/A</v>
      </c>
      <c r="E80" s="452" t="s">
        <v>902</v>
      </c>
      <c r="F80" s="452" t="s">
        <v>2102</v>
      </c>
      <c r="G80" s="452" t="s">
        <v>912</v>
      </c>
      <c r="H80" s="452" t="s">
        <v>2606</v>
      </c>
      <c r="I80" s="453" t="s">
        <v>844</v>
      </c>
      <c r="J80" s="453">
        <v>18000</v>
      </c>
      <c r="K80" s="461">
        <v>0</v>
      </c>
      <c r="L80" s="461">
        <v>0</v>
      </c>
      <c r="M80" s="461">
        <v>18000</v>
      </c>
      <c r="N80" s="461">
        <v>0</v>
      </c>
      <c r="O80" s="461">
        <v>0</v>
      </c>
      <c r="P80" s="461">
        <v>0</v>
      </c>
      <c r="Q80" s="461">
        <v>0</v>
      </c>
      <c r="R80" s="461">
        <v>0</v>
      </c>
      <c r="S80" s="461">
        <v>0</v>
      </c>
      <c r="T80" s="461">
        <v>0</v>
      </c>
      <c r="U80" s="461">
        <v>0</v>
      </c>
      <c r="V80" s="461">
        <v>0</v>
      </c>
    </row>
    <row r="81" spans="1:23" s="455" customFormat="1" ht="12.75" hidden="1" customHeight="1">
      <c r="A81" s="455" t="str">
        <f t="shared" si="2"/>
        <v>60005202200000</v>
      </c>
      <c r="B81" s="455" t="str">
        <f>VLOOKUP(LEFT($C$3:$C$2600,3),Table!$N$2:$O$88,2,FALSE)</f>
        <v>3rd Party Other manufacturing cost</v>
      </c>
      <c r="C81" s="535" t="str">
        <f t="shared" si="3"/>
        <v>5202200000</v>
      </c>
      <c r="D81" s="455" t="e">
        <f>VLOOKUP(G81,Table!$Q$3:$R$21,2,FALSE)</f>
        <v>#N/A</v>
      </c>
      <c r="E81" s="452" t="s">
        <v>902</v>
      </c>
      <c r="F81" s="452" t="s">
        <v>2102</v>
      </c>
      <c r="G81" s="452" t="s">
        <v>2607</v>
      </c>
      <c r="H81" s="452" t="s">
        <v>2608</v>
      </c>
      <c r="I81" s="453" t="s">
        <v>844</v>
      </c>
      <c r="J81" s="453">
        <v>48678.14</v>
      </c>
      <c r="K81" s="461">
        <v>0</v>
      </c>
      <c r="L81" s="461">
        <v>0</v>
      </c>
      <c r="M81" s="461">
        <v>48678.14</v>
      </c>
      <c r="N81" s="461">
        <v>0</v>
      </c>
      <c r="O81" s="461">
        <v>0</v>
      </c>
      <c r="P81" s="461">
        <v>0</v>
      </c>
      <c r="Q81" s="461">
        <v>0</v>
      </c>
      <c r="R81" s="461">
        <v>0</v>
      </c>
      <c r="S81" s="461">
        <v>0</v>
      </c>
      <c r="T81" s="461">
        <v>0</v>
      </c>
      <c r="U81" s="461">
        <v>0</v>
      </c>
      <c r="V81" s="461">
        <v>0</v>
      </c>
    </row>
    <row r="82" spans="1:23" s="455" customFormat="1" ht="12.75" hidden="1" customHeight="1">
      <c r="A82" s="455" t="str">
        <f t="shared" si="2"/>
        <v>60005202300000</v>
      </c>
      <c r="B82" s="455" t="str">
        <f>VLOOKUP(LEFT($C$3:$C$2600,3),Table!$N$2:$O$88,2,FALSE)</f>
        <v>3rd Party Other manufacturing cost</v>
      </c>
      <c r="C82" s="535" t="str">
        <f t="shared" si="3"/>
        <v>5202300000</v>
      </c>
      <c r="D82" s="455" t="e">
        <f>VLOOKUP(G82,Table!$Q$3:$R$21,2,FALSE)</f>
        <v>#N/A</v>
      </c>
      <c r="E82" s="452" t="s">
        <v>902</v>
      </c>
      <c r="F82" s="452" t="s">
        <v>2102</v>
      </c>
      <c r="G82" s="452" t="s">
        <v>914</v>
      </c>
      <c r="H82" s="452" t="s">
        <v>2609</v>
      </c>
      <c r="I82" s="453" t="s">
        <v>844</v>
      </c>
      <c r="J82" s="453">
        <v>70000</v>
      </c>
      <c r="K82" s="461">
        <v>0</v>
      </c>
      <c r="L82" s="461">
        <v>0</v>
      </c>
      <c r="M82" s="461">
        <v>70000</v>
      </c>
      <c r="N82" s="461">
        <v>0</v>
      </c>
      <c r="O82" s="461">
        <v>0</v>
      </c>
      <c r="P82" s="461">
        <v>0</v>
      </c>
      <c r="Q82" s="461">
        <v>0</v>
      </c>
      <c r="R82" s="461">
        <v>0</v>
      </c>
      <c r="S82" s="461">
        <v>0</v>
      </c>
      <c r="T82" s="461">
        <v>0</v>
      </c>
      <c r="U82" s="461">
        <v>0</v>
      </c>
      <c r="V82" s="461">
        <v>0</v>
      </c>
    </row>
    <row r="83" spans="1:23" s="455" customFormat="1" ht="12.75" customHeight="1">
      <c r="A83" s="455" t="str">
        <f t="shared" si="2"/>
        <v>60005400000000</v>
      </c>
      <c r="B83" s="455" t="str">
        <f>VLOOKUP(LEFT($C$3:$C$2600,3),Table!$N$2:$O$88,2,FALSE)</f>
        <v>Exchange gains/(losses)</v>
      </c>
      <c r="C83" s="535" t="str">
        <f t="shared" si="3"/>
        <v>5400000000</v>
      </c>
      <c r="D83" s="455" t="e">
        <f>VLOOKUP(G83,Table!$Q$3:$R$21,2,FALSE)</f>
        <v>#N/A</v>
      </c>
      <c r="E83" s="452" t="s">
        <v>902</v>
      </c>
      <c r="F83" s="452" t="s">
        <v>2102</v>
      </c>
      <c r="G83" s="452" t="s">
        <v>2173</v>
      </c>
      <c r="H83" s="452" t="s">
        <v>2174</v>
      </c>
      <c r="I83" s="453" t="s">
        <v>844</v>
      </c>
      <c r="J83" s="453">
        <v>0</v>
      </c>
      <c r="K83" s="461">
        <v>-26302.28</v>
      </c>
      <c r="L83" s="461">
        <v>-15987.84</v>
      </c>
      <c r="M83" s="461">
        <v>42290.12</v>
      </c>
      <c r="N83" s="461">
        <v>0</v>
      </c>
      <c r="O83" s="461">
        <v>0</v>
      </c>
      <c r="P83" s="461">
        <v>0</v>
      </c>
      <c r="Q83" s="461">
        <v>0</v>
      </c>
      <c r="R83" s="461">
        <v>0</v>
      </c>
      <c r="S83" s="461">
        <v>0</v>
      </c>
      <c r="T83" s="461">
        <v>0</v>
      </c>
      <c r="U83" s="461">
        <v>0</v>
      </c>
      <c r="V83" s="461">
        <v>0</v>
      </c>
    </row>
    <row r="84" spans="1:23" s="455" customFormat="1" ht="12.75" hidden="1" customHeight="1">
      <c r="A84" s="455" t="str">
        <f t="shared" si="2"/>
        <v>60005401101000</v>
      </c>
      <c r="B84" s="455" t="str">
        <f>VLOOKUP(LEFT($C$3:$C$2600,3),Table!$N$2:$O$88,2,FALSE)</f>
        <v>Interest expense</v>
      </c>
      <c r="C84" s="535">
        <f t="shared" si="3"/>
        <v>543</v>
      </c>
      <c r="D84" s="455">
        <f>VLOOKUP(G84,Table!$Q$3:$R$21,2,FALSE)</f>
        <v>543</v>
      </c>
      <c r="E84" s="452" t="s">
        <v>902</v>
      </c>
      <c r="F84" s="452" t="s">
        <v>2102</v>
      </c>
      <c r="G84" s="452" t="s">
        <v>2088</v>
      </c>
      <c r="H84" s="452" t="s">
        <v>2175</v>
      </c>
      <c r="I84" s="453" t="s">
        <v>844</v>
      </c>
      <c r="J84" s="453">
        <v>2493.14</v>
      </c>
      <c r="K84" s="461">
        <v>821.92</v>
      </c>
      <c r="L84" s="461">
        <v>849.32</v>
      </c>
      <c r="M84" s="461">
        <v>821.9</v>
      </c>
      <c r="N84" s="461">
        <v>0</v>
      </c>
      <c r="O84" s="461">
        <v>0</v>
      </c>
      <c r="P84" s="461">
        <v>0</v>
      </c>
      <c r="Q84" s="461">
        <v>0</v>
      </c>
      <c r="R84" s="461">
        <v>0</v>
      </c>
      <c r="S84" s="461">
        <v>0</v>
      </c>
      <c r="T84" s="461">
        <v>0</v>
      </c>
      <c r="U84" s="461">
        <v>0</v>
      </c>
      <c r="V84" s="461">
        <v>0</v>
      </c>
    </row>
    <row r="85" spans="1:23" s="455" customFormat="1" ht="12.75" hidden="1" customHeight="1">
      <c r="A85" s="455" t="str">
        <f t="shared" si="2"/>
        <v>60005401101200</v>
      </c>
      <c r="B85" s="455" t="str">
        <f>VLOOKUP(LEFT($C$3:$C$2600,3),Table!$N$2:$O$88,2,FALSE)</f>
        <v>Interest income</v>
      </c>
      <c r="C85" s="535">
        <f t="shared" si="3"/>
        <v>541</v>
      </c>
      <c r="D85" s="455">
        <f>VLOOKUP(G85,Table!$Q$3:$R$21,2,FALSE)</f>
        <v>541</v>
      </c>
      <c r="E85" s="452" t="s">
        <v>902</v>
      </c>
      <c r="F85" s="452" t="s">
        <v>2102</v>
      </c>
      <c r="G85" s="452" t="s">
        <v>2176</v>
      </c>
      <c r="H85" s="452" t="s">
        <v>2177</v>
      </c>
      <c r="I85" s="453" t="s">
        <v>844</v>
      </c>
      <c r="J85" s="453">
        <v>-125790.52</v>
      </c>
      <c r="K85" s="461">
        <v>-44607.44</v>
      </c>
      <c r="L85" s="461">
        <v>-45736.41</v>
      </c>
      <c r="M85" s="461">
        <v>-36937.71</v>
      </c>
      <c r="N85" s="461">
        <v>0</v>
      </c>
      <c r="O85" s="461">
        <v>0</v>
      </c>
      <c r="P85" s="461">
        <v>0</v>
      </c>
      <c r="Q85" s="461">
        <v>0</v>
      </c>
      <c r="R85" s="461">
        <v>0</v>
      </c>
      <c r="S85" s="461">
        <v>0</v>
      </c>
      <c r="T85" s="461">
        <v>0</v>
      </c>
      <c r="U85" s="461">
        <v>0</v>
      </c>
      <c r="V85" s="461">
        <v>0</v>
      </c>
    </row>
    <row r="86" spans="1:23" s="455" customFormat="1" ht="12.75" hidden="1" customHeight="1">
      <c r="A86" s="455" t="str">
        <f t="shared" si="2"/>
        <v>60005401101300</v>
      </c>
      <c r="B86" s="455" t="str">
        <f>VLOOKUP(LEFT($C$3:$C$2600,3),Table!$N$2:$O$88,2,FALSE)</f>
        <v>Interest income</v>
      </c>
      <c r="C86" s="535">
        <f t="shared" si="3"/>
        <v>541</v>
      </c>
      <c r="D86" s="455">
        <f>VLOOKUP(G86,Table!$Q$3:$R$21,2,FALSE)</f>
        <v>541</v>
      </c>
      <c r="E86" s="452" t="s">
        <v>902</v>
      </c>
      <c r="F86" s="452" t="s">
        <v>2102</v>
      </c>
      <c r="G86" s="452" t="s">
        <v>2610</v>
      </c>
      <c r="H86" s="452" t="s">
        <v>2611</v>
      </c>
      <c r="I86" s="453" t="s">
        <v>844</v>
      </c>
      <c r="J86" s="453">
        <v>-70.599999999999994</v>
      </c>
      <c r="K86" s="461">
        <v>-70.599999999999994</v>
      </c>
      <c r="L86" s="461">
        <v>0</v>
      </c>
      <c r="M86" s="461">
        <v>0</v>
      </c>
      <c r="N86" s="461">
        <v>0</v>
      </c>
      <c r="O86" s="461">
        <v>0</v>
      </c>
      <c r="P86" s="461">
        <v>0</v>
      </c>
      <c r="Q86" s="461">
        <v>0</v>
      </c>
      <c r="R86" s="461">
        <v>0</v>
      </c>
      <c r="S86" s="461">
        <v>0</v>
      </c>
      <c r="T86" s="461">
        <v>0</v>
      </c>
      <c r="U86" s="461">
        <v>0</v>
      </c>
      <c r="V86" s="461">
        <v>0</v>
      </c>
    </row>
    <row r="87" spans="1:23" s="455" customFormat="1" ht="12.75" customHeight="1">
      <c r="A87" s="455" t="str">
        <f t="shared" si="2"/>
        <v>60005401201020</v>
      </c>
      <c r="B87" s="455" t="str">
        <f>VLOOKUP(LEFT($C$3:$C$2600,3),Table!$N$2:$O$88,2,FALSE)</f>
        <v>Exchange gains/(losses)</v>
      </c>
      <c r="C87" s="535" t="str">
        <f t="shared" si="3"/>
        <v>5401201020</v>
      </c>
      <c r="D87" s="455" t="e">
        <f>VLOOKUP(G87,Table!$Q$3:$R$21,2,FALSE)</f>
        <v>#N/A</v>
      </c>
      <c r="E87" s="452" t="s">
        <v>902</v>
      </c>
      <c r="F87" s="452" t="s">
        <v>2102</v>
      </c>
      <c r="G87" s="452" t="s">
        <v>2090</v>
      </c>
      <c r="H87" s="452" t="s">
        <v>2612</v>
      </c>
      <c r="I87" s="453" t="s">
        <v>844</v>
      </c>
      <c r="J87" s="453">
        <v>-118297.81</v>
      </c>
      <c r="K87" s="461">
        <v>0</v>
      </c>
      <c r="L87" s="461">
        <v>0</v>
      </c>
      <c r="M87" s="461">
        <v>-118297.81</v>
      </c>
      <c r="N87" s="461">
        <v>0</v>
      </c>
      <c r="O87" s="461">
        <v>0</v>
      </c>
      <c r="P87" s="461">
        <v>0</v>
      </c>
      <c r="Q87" s="461">
        <v>0</v>
      </c>
      <c r="R87" s="461">
        <v>0</v>
      </c>
      <c r="S87" s="461">
        <v>0</v>
      </c>
      <c r="T87" s="461">
        <v>0</v>
      </c>
      <c r="U87" s="461">
        <v>0</v>
      </c>
      <c r="V87" s="461">
        <v>0</v>
      </c>
    </row>
    <row r="88" spans="1:23" s="455" customFormat="1" ht="12.75" customHeight="1">
      <c r="A88" s="455" t="str">
        <f t="shared" si="2"/>
        <v>60005401201021</v>
      </c>
      <c r="B88" s="455" t="str">
        <f>VLOOKUP(LEFT($C$3:$C$2600,3),Table!$N$2:$O$88,2,FALSE)</f>
        <v>Exchange gains/(losses)</v>
      </c>
      <c r="C88" s="535" t="str">
        <f t="shared" si="3"/>
        <v>5401201021</v>
      </c>
      <c r="D88" s="455" t="e">
        <f>VLOOKUP(G88,Table!$Q$3:$R$21,2,FALSE)</f>
        <v>#N/A</v>
      </c>
      <c r="E88" s="452" t="s">
        <v>902</v>
      </c>
      <c r="F88" s="452" t="s">
        <v>2102</v>
      </c>
      <c r="G88" s="452" t="s">
        <v>2092</v>
      </c>
      <c r="H88" s="452" t="s">
        <v>2093</v>
      </c>
      <c r="I88" s="453" t="s">
        <v>844</v>
      </c>
      <c r="J88" s="453">
        <v>-98888.93</v>
      </c>
      <c r="K88" s="461">
        <v>0</v>
      </c>
      <c r="L88" s="461">
        <v>0</v>
      </c>
      <c r="M88" s="461">
        <v>-98888.93</v>
      </c>
      <c r="N88" s="461">
        <v>0</v>
      </c>
      <c r="O88" s="461">
        <v>0</v>
      </c>
      <c r="P88" s="461">
        <v>0</v>
      </c>
      <c r="Q88" s="461">
        <v>0</v>
      </c>
      <c r="R88" s="461">
        <v>0</v>
      </c>
      <c r="S88" s="461">
        <v>0</v>
      </c>
      <c r="T88" s="461">
        <v>0</v>
      </c>
      <c r="U88" s="461">
        <v>0</v>
      </c>
      <c r="V88" s="461">
        <v>0</v>
      </c>
    </row>
    <row r="89" spans="1:23" s="455" customFormat="1" ht="12.75" customHeight="1">
      <c r="A89" s="455" t="str">
        <f t="shared" si="2"/>
        <v>60005401201110</v>
      </c>
      <c r="B89" s="455" t="str">
        <f>VLOOKUP(LEFT($C$3:$C$2600,3),Table!$N$2:$O$88,2,FALSE)</f>
        <v>Exchange gains/(losses)</v>
      </c>
      <c r="C89" s="535" t="str">
        <f t="shared" si="3"/>
        <v>5401201110</v>
      </c>
      <c r="D89" s="455" t="e">
        <f>VLOOKUP(G89,Table!$Q$3:$R$21,2,FALSE)</f>
        <v>#N/A</v>
      </c>
      <c r="E89" s="452" t="s">
        <v>902</v>
      </c>
      <c r="F89" s="452" t="s">
        <v>2102</v>
      </c>
      <c r="G89" s="452" t="s">
        <v>2094</v>
      </c>
      <c r="H89" s="452" t="s">
        <v>2613</v>
      </c>
      <c r="I89" s="453" t="s">
        <v>844</v>
      </c>
      <c r="J89" s="453">
        <v>-502026.53</v>
      </c>
      <c r="K89" s="461">
        <v>0</v>
      </c>
      <c r="L89" s="461">
        <v>0</v>
      </c>
      <c r="M89" s="461">
        <v>-502026.53</v>
      </c>
      <c r="N89" s="461">
        <v>0</v>
      </c>
      <c r="O89" s="461">
        <v>0</v>
      </c>
      <c r="P89" s="461">
        <v>0</v>
      </c>
      <c r="Q89" s="461">
        <v>0</v>
      </c>
      <c r="R89" s="461">
        <v>0</v>
      </c>
      <c r="S89" s="461">
        <v>0</v>
      </c>
      <c r="T89" s="461">
        <v>0</v>
      </c>
      <c r="U89" s="461">
        <v>0</v>
      </c>
      <c r="V89" s="461">
        <v>0</v>
      </c>
    </row>
    <row r="90" spans="1:23" s="455" customFormat="1" ht="12.75" customHeight="1">
      <c r="A90" s="455" t="str">
        <f t="shared" si="2"/>
        <v>60005401201111</v>
      </c>
      <c r="B90" s="455" t="str">
        <f>VLOOKUP(LEFT($C$3:$C$2600,3),Table!$N$2:$O$88,2,FALSE)</f>
        <v>Exchange gains/(losses)</v>
      </c>
      <c r="C90" s="535" t="str">
        <f t="shared" si="3"/>
        <v>5401201111</v>
      </c>
      <c r="D90" s="455" t="e">
        <f>VLOOKUP(G90,Table!$Q$3:$R$21,2,FALSE)</f>
        <v>#N/A</v>
      </c>
      <c r="E90" s="452" t="s">
        <v>902</v>
      </c>
      <c r="F90" s="452" t="s">
        <v>2102</v>
      </c>
      <c r="G90" s="452" t="s">
        <v>2096</v>
      </c>
      <c r="H90" s="452" t="s">
        <v>2097</v>
      </c>
      <c r="I90" s="453" t="s">
        <v>844</v>
      </c>
      <c r="J90" s="453">
        <v>368387</v>
      </c>
      <c r="K90" s="461">
        <v>0</v>
      </c>
      <c r="L90" s="461">
        <v>0</v>
      </c>
      <c r="M90" s="461">
        <v>368387</v>
      </c>
      <c r="N90" s="461">
        <v>0</v>
      </c>
      <c r="O90" s="461">
        <v>0</v>
      </c>
      <c r="P90" s="461">
        <v>0</v>
      </c>
      <c r="Q90" s="461">
        <v>0</v>
      </c>
      <c r="R90" s="461">
        <v>0</v>
      </c>
      <c r="S90" s="461">
        <v>0</v>
      </c>
      <c r="T90" s="461">
        <v>0</v>
      </c>
      <c r="U90" s="461">
        <v>0</v>
      </c>
      <c r="V90" s="461">
        <v>0</v>
      </c>
    </row>
    <row r="91" spans="1:23" s="455" customFormat="1" ht="12.75" customHeight="1">
      <c r="A91" s="455" t="str">
        <f t="shared" si="2"/>
        <v>60005401201300</v>
      </c>
      <c r="B91" s="455" t="str">
        <f>VLOOKUP(LEFT($C$3:$C$2600,3),Table!$N$2:$O$88,2,FALSE)</f>
        <v>Exchange gains/(losses)</v>
      </c>
      <c r="C91" s="535" t="str">
        <f t="shared" si="3"/>
        <v>5401201300</v>
      </c>
      <c r="D91" s="455" t="e">
        <f>VLOOKUP(G91,Table!$Q$3:$R$21,2,FALSE)</f>
        <v>#N/A</v>
      </c>
      <c r="E91" s="452" t="s">
        <v>902</v>
      </c>
      <c r="F91" s="452" t="s">
        <v>2102</v>
      </c>
      <c r="G91" s="452" t="s">
        <v>2098</v>
      </c>
      <c r="H91" s="452" t="s">
        <v>2614</v>
      </c>
      <c r="I91" s="453" t="s">
        <v>844</v>
      </c>
      <c r="J91" s="453">
        <v>131212</v>
      </c>
      <c r="K91" s="461">
        <v>0</v>
      </c>
      <c r="L91" s="461">
        <v>0</v>
      </c>
      <c r="M91" s="461">
        <v>272138</v>
      </c>
      <c r="N91" s="461">
        <v>0</v>
      </c>
      <c r="O91" s="461">
        <v>0</v>
      </c>
      <c r="P91" s="461">
        <v>0</v>
      </c>
      <c r="Q91" s="461">
        <v>0</v>
      </c>
      <c r="R91" s="461">
        <v>0</v>
      </c>
      <c r="S91" s="461">
        <v>0</v>
      </c>
      <c r="T91" s="461">
        <v>0</v>
      </c>
      <c r="U91" s="461">
        <v>0</v>
      </c>
      <c r="V91" s="461">
        <v>0</v>
      </c>
    </row>
    <row r="92" spans="1:23" s="455" customFormat="1" ht="13.5" hidden="1" customHeight="1" thickBot="1">
      <c r="A92" s="455" t="str">
        <f t="shared" si="2"/>
        <v>60005501000000</v>
      </c>
      <c r="B92" s="455" t="str">
        <f>VLOOKUP(LEFT($C$3:$C$2600,3),Table!$N$2:$O$88,2,FALSE)</f>
        <v>Interco income/Expenses</v>
      </c>
      <c r="C92" s="535">
        <f t="shared" si="3"/>
        <v>551</v>
      </c>
      <c r="D92" s="455">
        <f>VLOOKUP(G92,Table!$Q$3:$R$21,2,FALSE)</f>
        <v>551</v>
      </c>
      <c r="E92" s="452" t="s">
        <v>902</v>
      </c>
      <c r="F92" s="452" t="s">
        <v>2102</v>
      </c>
      <c r="G92" s="452" t="s">
        <v>950</v>
      </c>
      <c r="H92" s="452" t="s">
        <v>2179</v>
      </c>
      <c r="I92" s="453" t="s">
        <v>844</v>
      </c>
      <c r="J92" s="453">
        <v>-3513231.48</v>
      </c>
      <c r="K92" s="461">
        <v>-1047286.3</v>
      </c>
      <c r="L92" s="461">
        <v>-1304233.8</v>
      </c>
      <c r="M92" s="461">
        <v>-1161711.3799999999</v>
      </c>
      <c r="N92" s="461">
        <v>0</v>
      </c>
      <c r="O92" s="461">
        <v>0</v>
      </c>
      <c r="P92" s="461">
        <v>0</v>
      </c>
      <c r="Q92" s="461">
        <v>0</v>
      </c>
      <c r="R92" s="461">
        <v>0</v>
      </c>
      <c r="S92" s="461">
        <v>0</v>
      </c>
      <c r="T92" s="461">
        <v>0</v>
      </c>
      <c r="U92" s="461">
        <v>0</v>
      </c>
      <c r="V92" s="461">
        <v>0</v>
      </c>
    </row>
    <row r="93" spans="1:23" s="455" customFormat="1" ht="13.5" hidden="1" customHeight="1" thickBot="1">
      <c r="A93" s="455" t="str">
        <f t="shared" si="2"/>
        <v>60005501010000</v>
      </c>
      <c r="B93" s="455" t="str">
        <f>VLOOKUP(LEFT($C$3:$C$2600,3),Table!$N$2:$O$88,2,FALSE)</f>
        <v>Interco income/Expenses</v>
      </c>
      <c r="C93" s="535">
        <f t="shared" si="3"/>
        <v>551</v>
      </c>
      <c r="D93" s="455">
        <f>VLOOKUP(G93,Table!$Q$3:$R$21,2,FALSE)</f>
        <v>551</v>
      </c>
      <c r="E93" s="452" t="s">
        <v>902</v>
      </c>
      <c r="F93" s="452" t="s">
        <v>2102</v>
      </c>
      <c r="G93" s="452" t="s">
        <v>2180</v>
      </c>
      <c r="H93" s="452" t="s">
        <v>2181</v>
      </c>
      <c r="I93" s="453" t="s">
        <v>844</v>
      </c>
      <c r="J93" s="453">
        <v>3513231.48</v>
      </c>
      <c r="K93" s="461">
        <v>1047286.3</v>
      </c>
      <c r="L93" s="461">
        <v>1304233.8</v>
      </c>
      <c r="M93" s="461">
        <v>1161711.3799999999</v>
      </c>
      <c r="N93" s="461">
        <v>0</v>
      </c>
      <c r="O93" s="461">
        <v>0</v>
      </c>
      <c r="P93" s="461">
        <v>0</v>
      </c>
      <c r="Q93" s="461">
        <v>0</v>
      </c>
      <c r="R93" s="461">
        <v>0</v>
      </c>
      <c r="S93" s="461">
        <v>0</v>
      </c>
      <c r="T93" s="461">
        <v>0</v>
      </c>
      <c r="U93" s="461">
        <v>0</v>
      </c>
      <c r="V93" s="461">
        <v>0</v>
      </c>
      <c r="W93" s="462"/>
    </row>
    <row r="94" spans="1:23" s="455" customFormat="1" ht="12.75" hidden="1" customHeight="1">
      <c r="A94" s="455" t="str">
        <f t="shared" si="2"/>
        <v>60006001000000</v>
      </c>
      <c r="B94" s="455" t="str">
        <f>VLOOKUP(LEFT($C$3:$C$2600,3),Table!$N$2:$O$88,2,FALSE)</f>
        <v xml:space="preserve"> Income taxes</v>
      </c>
      <c r="C94" s="535" t="str">
        <f t="shared" si="3"/>
        <v>6001000000</v>
      </c>
      <c r="D94" s="455" t="e">
        <f>VLOOKUP(G94,Table!$Q$3:$R$21,2,FALSE)</f>
        <v>#N/A</v>
      </c>
      <c r="E94" s="452" t="s">
        <v>902</v>
      </c>
      <c r="F94" s="452" t="s">
        <v>2102</v>
      </c>
      <c r="G94" s="452" t="s">
        <v>2100</v>
      </c>
      <c r="H94" s="452" t="s">
        <v>2184</v>
      </c>
      <c r="I94" s="453" t="s">
        <v>844</v>
      </c>
      <c r="J94" s="453">
        <v>0</v>
      </c>
      <c r="K94" s="461">
        <v>45000</v>
      </c>
      <c r="L94" s="461">
        <v>-45000</v>
      </c>
      <c r="M94" s="461">
        <v>0</v>
      </c>
      <c r="N94" s="461">
        <v>0</v>
      </c>
      <c r="O94" s="461">
        <v>0</v>
      </c>
      <c r="P94" s="461">
        <v>0</v>
      </c>
      <c r="Q94" s="461">
        <v>0</v>
      </c>
      <c r="R94" s="461">
        <v>0</v>
      </c>
      <c r="S94" s="461">
        <v>0</v>
      </c>
      <c r="T94" s="461">
        <v>0</v>
      </c>
      <c r="U94" s="461">
        <v>0</v>
      </c>
      <c r="V94" s="461">
        <v>0</v>
      </c>
    </row>
    <row r="95" spans="1:23" s="455" customFormat="1" ht="12.75" hidden="1" customHeight="1">
      <c r="A95" s="455" t="str">
        <f t="shared" si="2"/>
        <v>60009000000000</v>
      </c>
      <c r="B95" s="455">
        <f>VLOOKUP(LEFT($C$3:$C$2600,3),Table!$N$2:$O$88,2,FALSE)</f>
        <v>0</v>
      </c>
      <c r="C95" s="535" t="str">
        <f t="shared" si="3"/>
        <v>9000000000</v>
      </c>
      <c r="D95" s="455" t="e">
        <f>VLOOKUP(G95,Table!$Q$3:$R$21,2,FALSE)</f>
        <v>#N/A</v>
      </c>
      <c r="E95" s="452" t="s">
        <v>902</v>
      </c>
      <c r="F95" s="452" t="s">
        <v>2102</v>
      </c>
      <c r="G95" s="452" t="s">
        <v>962</v>
      </c>
      <c r="H95" s="452" t="s">
        <v>963</v>
      </c>
      <c r="I95" s="453" t="s">
        <v>844</v>
      </c>
      <c r="J95" s="453">
        <v>-4076382.96</v>
      </c>
      <c r="K95" s="461">
        <v>-1364484.28</v>
      </c>
      <c r="L95" s="461">
        <v>-1442770.38</v>
      </c>
      <c r="M95" s="461">
        <v>-1269128.3</v>
      </c>
      <c r="N95" s="461">
        <v>0</v>
      </c>
      <c r="O95" s="461">
        <v>0</v>
      </c>
      <c r="P95" s="461">
        <v>0</v>
      </c>
      <c r="Q95" s="461">
        <v>0</v>
      </c>
      <c r="R95" s="461">
        <v>0</v>
      </c>
      <c r="S95" s="461">
        <v>0</v>
      </c>
      <c r="T95" s="461">
        <v>0</v>
      </c>
      <c r="U95" s="461">
        <v>0</v>
      </c>
      <c r="V95" s="461">
        <v>0</v>
      </c>
    </row>
    <row r="96" spans="1:23" s="455" customFormat="1" ht="12.75" hidden="1" customHeight="1">
      <c r="A96" s="455" t="str">
        <f t="shared" si="2"/>
        <v>61109100900000</v>
      </c>
      <c r="B96" s="455">
        <f>VLOOKUP(LEFT($C$3:$C$2600,3),Table!$N$2:$O$88,2,FALSE)</f>
        <v>0</v>
      </c>
      <c r="C96" s="535" t="str">
        <f t="shared" si="3"/>
        <v>9100900000</v>
      </c>
      <c r="D96" s="455" t="e">
        <f>VLOOKUP(G96,Table!$Q$3:$R$21,2,FALSE)</f>
        <v>#N/A</v>
      </c>
      <c r="E96" s="452" t="s">
        <v>902</v>
      </c>
      <c r="F96" s="452" t="s">
        <v>1972</v>
      </c>
      <c r="G96" s="452" t="s">
        <v>965</v>
      </c>
      <c r="H96" s="452" t="s">
        <v>966</v>
      </c>
      <c r="I96" s="453" t="s">
        <v>844</v>
      </c>
      <c r="J96" s="453">
        <v>27701.25</v>
      </c>
      <c r="K96" s="461">
        <v>13597.3</v>
      </c>
      <c r="L96" s="461">
        <v>14068.95</v>
      </c>
      <c r="M96" s="461">
        <v>13228.75</v>
      </c>
      <c r="N96" s="461">
        <v>0</v>
      </c>
      <c r="O96" s="461">
        <v>0</v>
      </c>
      <c r="P96" s="461">
        <v>0</v>
      </c>
      <c r="Q96" s="461">
        <v>0</v>
      </c>
      <c r="R96" s="461">
        <v>0</v>
      </c>
      <c r="S96" s="461">
        <v>0</v>
      </c>
      <c r="T96" s="461">
        <v>0</v>
      </c>
      <c r="U96" s="461">
        <v>0</v>
      </c>
      <c r="V96" s="461">
        <v>0</v>
      </c>
    </row>
    <row r="97" spans="1:22" s="455" customFormat="1" ht="12.75" hidden="1" customHeight="1">
      <c r="A97" s="455" t="str">
        <f t="shared" si="2"/>
        <v>61109101101000</v>
      </c>
      <c r="B97" s="455">
        <f>VLOOKUP(LEFT($C$3:$C$2600,3),Table!$N$2:$O$88,2,FALSE)</f>
        <v>0</v>
      </c>
      <c r="C97" s="535" t="str">
        <f t="shared" si="3"/>
        <v>9101101000</v>
      </c>
      <c r="D97" s="455" t="e">
        <f>VLOOKUP(G97,Table!$Q$3:$R$21,2,FALSE)</f>
        <v>#N/A</v>
      </c>
      <c r="E97" s="452" t="s">
        <v>902</v>
      </c>
      <c r="F97" s="452" t="s">
        <v>1972</v>
      </c>
      <c r="G97" s="452" t="s">
        <v>1067</v>
      </c>
      <c r="H97" s="452" t="s">
        <v>2185</v>
      </c>
      <c r="I97" s="453" t="s">
        <v>844</v>
      </c>
      <c r="J97" s="453">
        <v>76304.240000000005</v>
      </c>
      <c r="K97" s="461">
        <v>23069.38</v>
      </c>
      <c r="L97" s="461">
        <v>27213.360000000001</v>
      </c>
      <c r="M97" s="461">
        <v>26021.5</v>
      </c>
      <c r="N97" s="461">
        <v>0</v>
      </c>
      <c r="O97" s="461">
        <v>0</v>
      </c>
      <c r="P97" s="461">
        <v>0</v>
      </c>
      <c r="Q97" s="461">
        <v>0</v>
      </c>
      <c r="R97" s="461">
        <v>0</v>
      </c>
      <c r="S97" s="461">
        <v>0</v>
      </c>
      <c r="T97" s="461">
        <v>0</v>
      </c>
      <c r="U97" s="461">
        <v>0</v>
      </c>
      <c r="V97" s="461">
        <v>0</v>
      </c>
    </row>
    <row r="98" spans="1:22" s="455" customFormat="1" ht="12.75" hidden="1" customHeight="1">
      <c r="A98" s="455" t="str">
        <f t="shared" si="2"/>
        <v>61109101101100</v>
      </c>
      <c r="B98" s="455">
        <f>VLOOKUP(LEFT($C$3:$C$2600,3),Table!$N$2:$O$88,2,FALSE)</f>
        <v>0</v>
      </c>
      <c r="C98" s="535" t="str">
        <f t="shared" si="3"/>
        <v>9101101100</v>
      </c>
      <c r="D98" s="455" t="e">
        <f>VLOOKUP(G98,Table!$Q$3:$R$21,2,FALSE)</f>
        <v>#N/A</v>
      </c>
      <c r="E98" s="452" t="s">
        <v>902</v>
      </c>
      <c r="F98" s="452" t="s">
        <v>1972</v>
      </c>
      <c r="G98" s="452" t="s">
        <v>1069</v>
      </c>
      <c r="H98" s="452" t="s">
        <v>2186</v>
      </c>
      <c r="I98" s="453" t="s">
        <v>844</v>
      </c>
      <c r="J98" s="453">
        <v>74174.960000000006</v>
      </c>
      <c r="K98" s="461">
        <v>25309.73</v>
      </c>
      <c r="L98" s="461">
        <v>27319.88</v>
      </c>
      <c r="M98" s="461">
        <v>21545.35</v>
      </c>
      <c r="N98" s="461">
        <v>0</v>
      </c>
      <c r="O98" s="461">
        <v>0</v>
      </c>
      <c r="P98" s="461">
        <v>0</v>
      </c>
      <c r="Q98" s="461">
        <v>0</v>
      </c>
      <c r="R98" s="461">
        <v>0</v>
      </c>
      <c r="S98" s="461">
        <v>0</v>
      </c>
      <c r="T98" s="461">
        <v>0</v>
      </c>
      <c r="U98" s="461">
        <v>0</v>
      </c>
      <c r="V98" s="461">
        <v>0</v>
      </c>
    </row>
    <row r="99" spans="1:22" s="455" customFormat="1" ht="12.75" hidden="1" customHeight="1">
      <c r="A99" s="455" t="str">
        <f t="shared" si="2"/>
        <v>61109101101200</v>
      </c>
      <c r="B99" s="455">
        <f>VLOOKUP(LEFT($C$3:$C$2600,3),Table!$N$2:$O$88,2,FALSE)</f>
        <v>0</v>
      </c>
      <c r="C99" s="535" t="str">
        <f t="shared" si="3"/>
        <v>9101101200</v>
      </c>
      <c r="D99" s="455" t="e">
        <f>VLOOKUP(G99,Table!$Q$3:$R$21,2,FALSE)</f>
        <v>#N/A</v>
      </c>
      <c r="E99" s="452" t="s">
        <v>902</v>
      </c>
      <c r="F99" s="452" t="s">
        <v>1972</v>
      </c>
      <c r="G99" s="452" t="s">
        <v>1071</v>
      </c>
      <c r="H99" s="452" t="s">
        <v>2187</v>
      </c>
      <c r="I99" s="453" t="s">
        <v>844</v>
      </c>
      <c r="J99" s="453">
        <v>7519</v>
      </c>
      <c r="K99" s="461">
        <v>2685</v>
      </c>
      <c r="L99" s="461">
        <v>2449</v>
      </c>
      <c r="M99" s="461">
        <v>2385</v>
      </c>
      <c r="N99" s="461">
        <v>0</v>
      </c>
      <c r="O99" s="461">
        <v>0</v>
      </c>
      <c r="P99" s="461">
        <v>0</v>
      </c>
      <c r="Q99" s="461">
        <v>0</v>
      </c>
      <c r="R99" s="461">
        <v>0</v>
      </c>
      <c r="S99" s="461">
        <v>0</v>
      </c>
      <c r="T99" s="461">
        <v>0</v>
      </c>
      <c r="U99" s="461">
        <v>0</v>
      </c>
      <c r="V99" s="461">
        <v>0</v>
      </c>
    </row>
    <row r="100" spans="1:22" s="455" customFormat="1" ht="12.75" hidden="1" customHeight="1">
      <c r="A100" s="455" t="str">
        <f t="shared" si="2"/>
        <v>61109101101300</v>
      </c>
      <c r="B100" s="455">
        <f>VLOOKUP(LEFT($C$3:$C$2600,3),Table!$N$2:$O$88,2,FALSE)</f>
        <v>0</v>
      </c>
      <c r="C100" s="535" t="str">
        <f t="shared" si="3"/>
        <v>9101101300</v>
      </c>
      <c r="D100" s="455" t="e">
        <f>VLOOKUP(G100,Table!$Q$3:$R$21,2,FALSE)</f>
        <v>#N/A</v>
      </c>
      <c r="E100" s="452" t="s">
        <v>902</v>
      </c>
      <c r="F100" s="452" t="s">
        <v>1972</v>
      </c>
      <c r="G100" s="452" t="s">
        <v>1073</v>
      </c>
      <c r="H100" s="452" t="s">
        <v>2188</v>
      </c>
      <c r="I100" s="453" t="s">
        <v>844</v>
      </c>
      <c r="J100" s="453">
        <v>8019.5</v>
      </c>
      <c r="K100" s="461">
        <v>2887</v>
      </c>
      <c r="L100" s="461">
        <v>2458.5</v>
      </c>
      <c r="M100" s="461">
        <v>2674</v>
      </c>
      <c r="N100" s="461">
        <v>0</v>
      </c>
      <c r="O100" s="461">
        <v>0</v>
      </c>
      <c r="P100" s="461">
        <v>0</v>
      </c>
      <c r="Q100" s="461">
        <v>0</v>
      </c>
      <c r="R100" s="461">
        <v>0</v>
      </c>
      <c r="S100" s="461">
        <v>0</v>
      </c>
      <c r="T100" s="461">
        <v>0</v>
      </c>
      <c r="U100" s="461">
        <v>0</v>
      </c>
      <c r="V100" s="461">
        <v>0</v>
      </c>
    </row>
    <row r="101" spans="1:22" s="455" customFormat="1" ht="12.75" hidden="1" customHeight="1">
      <c r="A101" s="455" t="str">
        <f t="shared" si="2"/>
        <v>61109101101400</v>
      </c>
      <c r="B101" s="455">
        <f>VLOOKUP(LEFT($C$3:$C$2600,3),Table!$N$2:$O$88,2,FALSE)</f>
        <v>0</v>
      </c>
      <c r="C101" s="535" t="str">
        <f t="shared" si="3"/>
        <v>9101101400</v>
      </c>
      <c r="D101" s="455" t="e">
        <f>VLOOKUP(G101,Table!$Q$3:$R$21,2,FALSE)</f>
        <v>#N/A</v>
      </c>
      <c r="E101" s="452" t="s">
        <v>902</v>
      </c>
      <c r="F101" s="452" t="s">
        <v>1972</v>
      </c>
      <c r="G101" s="452" t="s">
        <v>1075</v>
      </c>
      <c r="H101" s="452" t="s">
        <v>2189</v>
      </c>
      <c r="I101" s="453" t="s">
        <v>844</v>
      </c>
      <c r="J101" s="453">
        <v>7779</v>
      </c>
      <c r="K101" s="461">
        <v>2365</v>
      </c>
      <c r="L101" s="461">
        <v>2763</v>
      </c>
      <c r="M101" s="461">
        <v>2651</v>
      </c>
      <c r="N101" s="461">
        <v>0</v>
      </c>
      <c r="O101" s="461">
        <v>0</v>
      </c>
      <c r="P101" s="461">
        <v>0</v>
      </c>
      <c r="Q101" s="461">
        <v>0</v>
      </c>
      <c r="R101" s="461">
        <v>0</v>
      </c>
      <c r="S101" s="461">
        <v>0</v>
      </c>
      <c r="T101" s="461">
        <v>0</v>
      </c>
      <c r="U101" s="461">
        <v>0</v>
      </c>
      <c r="V101" s="461">
        <v>0</v>
      </c>
    </row>
    <row r="102" spans="1:22" s="455" customFormat="1" ht="12.75" hidden="1" customHeight="1">
      <c r="A102" s="455" t="str">
        <f t="shared" si="2"/>
        <v>61109101101500</v>
      </c>
      <c r="B102" s="455">
        <f>VLOOKUP(LEFT($C$3:$C$2600,3),Table!$N$2:$O$88,2,FALSE)</f>
        <v>0</v>
      </c>
      <c r="C102" s="535" t="str">
        <f t="shared" si="3"/>
        <v>9101101500</v>
      </c>
      <c r="D102" s="455" t="e">
        <f>VLOOKUP(G102,Table!$Q$3:$R$21,2,FALSE)</f>
        <v>#N/A</v>
      </c>
      <c r="E102" s="452" t="s">
        <v>902</v>
      </c>
      <c r="F102" s="452" t="s">
        <v>1972</v>
      </c>
      <c r="G102" s="452" t="s">
        <v>1079</v>
      </c>
      <c r="H102" s="452" t="s">
        <v>2190</v>
      </c>
      <c r="I102" s="453" t="s">
        <v>844</v>
      </c>
      <c r="J102" s="453">
        <v>1675.5</v>
      </c>
      <c r="K102" s="461">
        <v>544.79999999999995</v>
      </c>
      <c r="L102" s="461">
        <v>588.20000000000005</v>
      </c>
      <c r="M102" s="461">
        <v>542.5</v>
      </c>
      <c r="N102" s="461">
        <v>0</v>
      </c>
      <c r="O102" s="461">
        <v>0</v>
      </c>
      <c r="P102" s="461">
        <v>0</v>
      </c>
      <c r="Q102" s="461">
        <v>0</v>
      </c>
      <c r="R102" s="461">
        <v>0</v>
      </c>
      <c r="S102" s="461">
        <v>0</v>
      </c>
      <c r="T102" s="461">
        <v>0</v>
      </c>
      <c r="U102" s="461">
        <v>0</v>
      </c>
      <c r="V102" s="461">
        <v>0</v>
      </c>
    </row>
    <row r="103" spans="1:22" s="455" customFormat="1" ht="12.75" hidden="1" customHeight="1">
      <c r="A103" s="455" t="str">
        <f t="shared" si="2"/>
        <v>61109101101600</v>
      </c>
      <c r="B103" s="455">
        <f>VLOOKUP(LEFT($C$3:$C$2600,3),Table!$N$2:$O$88,2,FALSE)</f>
        <v>0</v>
      </c>
      <c r="C103" s="535" t="str">
        <f t="shared" si="3"/>
        <v>9101101600</v>
      </c>
      <c r="D103" s="455" t="e">
        <f>VLOOKUP(G103,Table!$Q$3:$R$21,2,FALSE)</f>
        <v>#N/A</v>
      </c>
      <c r="E103" s="452" t="s">
        <v>902</v>
      </c>
      <c r="F103" s="452" t="s">
        <v>1972</v>
      </c>
      <c r="G103" s="452" t="s">
        <v>1081</v>
      </c>
      <c r="H103" s="452" t="s">
        <v>2191</v>
      </c>
      <c r="I103" s="453" t="s">
        <v>844</v>
      </c>
      <c r="J103" s="453">
        <v>7590</v>
      </c>
      <c r="K103" s="461">
        <v>2334</v>
      </c>
      <c r="L103" s="461">
        <v>2593</v>
      </c>
      <c r="M103" s="461">
        <v>2663</v>
      </c>
      <c r="N103" s="461">
        <v>0</v>
      </c>
      <c r="O103" s="461">
        <v>0</v>
      </c>
      <c r="P103" s="461">
        <v>0</v>
      </c>
      <c r="Q103" s="461">
        <v>0</v>
      </c>
      <c r="R103" s="461">
        <v>0</v>
      </c>
      <c r="S103" s="461">
        <v>0</v>
      </c>
      <c r="T103" s="461">
        <v>0</v>
      </c>
      <c r="U103" s="461">
        <v>0</v>
      </c>
      <c r="V103" s="461">
        <v>0</v>
      </c>
    </row>
    <row r="104" spans="1:22" s="455" customFormat="1" ht="12.75" hidden="1" customHeight="1">
      <c r="A104" s="455" t="str">
        <f t="shared" si="2"/>
        <v>61109101101900</v>
      </c>
      <c r="B104" s="455">
        <f>VLOOKUP(LEFT($C$3:$C$2600,3),Table!$N$2:$O$88,2,FALSE)</f>
        <v>0</v>
      </c>
      <c r="C104" s="535" t="str">
        <f t="shared" si="3"/>
        <v>9101101900</v>
      </c>
      <c r="D104" s="455" t="e">
        <f>VLOOKUP(G104,Table!$Q$3:$R$21,2,FALSE)</f>
        <v>#N/A</v>
      </c>
      <c r="E104" s="452" t="s">
        <v>902</v>
      </c>
      <c r="F104" s="452" t="s">
        <v>1972</v>
      </c>
      <c r="G104" s="452" t="s">
        <v>1087</v>
      </c>
      <c r="H104" s="452" t="s">
        <v>2192</v>
      </c>
      <c r="I104" s="453" t="s">
        <v>844</v>
      </c>
      <c r="J104" s="453">
        <v>561.77</v>
      </c>
      <c r="K104" s="461">
        <v>169.42</v>
      </c>
      <c r="L104" s="461">
        <v>199.16</v>
      </c>
      <c r="M104" s="461">
        <v>193.19</v>
      </c>
      <c r="N104" s="461">
        <v>0</v>
      </c>
      <c r="O104" s="461">
        <v>0</v>
      </c>
      <c r="P104" s="461">
        <v>0</v>
      </c>
      <c r="Q104" s="461">
        <v>0</v>
      </c>
      <c r="R104" s="461">
        <v>0</v>
      </c>
      <c r="S104" s="461">
        <v>0</v>
      </c>
      <c r="T104" s="461">
        <v>0</v>
      </c>
      <c r="U104" s="461">
        <v>0</v>
      </c>
      <c r="V104" s="461">
        <v>0</v>
      </c>
    </row>
    <row r="105" spans="1:22" s="455" customFormat="1" ht="12.75" hidden="1" customHeight="1">
      <c r="A105" s="455" t="str">
        <f t="shared" si="2"/>
        <v>61109101102000</v>
      </c>
      <c r="B105" s="455">
        <f>VLOOKUP(LEFT($C$3:$C$2600,3),Table!$N$2:$O$88,2,FALSE)</f>
        <v>0</v>
      </c>
      <c r="C105" s="535" t="str">
        <f t="shared" si="3"/>
        <v>9101102000</v>
      </c>
      <c r="D105" s="455" t="e">
        <f>VLOOKUP(G105,Table!$Q$3:$R$21,2,FALSE)</f>
        <v>#N/A</v>
      </c>
      <c r="E105" s="452" t="s">
        <v>902</v>
      </c>
      <c r="F105" s="452" t="s">
        <v>1972</v>
      </c>
      <c r="G105" s="452" t="s">
        <v>1089</v>
      </c>
      <c r="H105" s="452" t="s">
        <v>1090</v>
      </c>
      <c r="I105" s="453" t="s">
        <v>844</v>
      </c>
      <c r="J105" s="453">
        <v>2400</v>
      </c>
      <c r="K105" s="461">
        <v>0</v>
      </c>
      <c r="L105" s="461">
        <v>0</v>
      </c>
      <c r="M105" s="461">
        <v>2400</v>
      </c>
      <c r="N105" s="461">
        <v>0</v>
      </c>
      <c r="O105" s="461">
        <v>0</v>
      </c>
      <c r="P105" s="461">
        <v>0</v>
      </c>
      <c r="Q105" s="461">
        <v>0</v>
      </c>
      <c r="R105" s="461">
        <v>0</v>
      </c>
      <c r="S105" s="461">
        <v>0</v>
      </c>
      <c r="T105" s="461">
        <v>0</v>
      </c>
      <c r="U105" s="461">
        <v>0</v>
      </c>
      <c r="V105" s="461">
        <v>0</v>
      </c>
    </row>
    <row r="106" spans="1:22" s="455" customFormat="1" ht="12.75" hidden="1" customHeight="1">
      <c r="A106" s="455" t="str">
        <f t="shared" si="2"/>
        <v>61109101201000</v>
      </c>
      <c r="B106" s="455">
        <f>VLOOKUP(LEFT($C$3:$C$2600,3),Table!$N$2:$O$88,2,FALSE)</f>
        <v>0</v>
      </c>
      <c r="C106" s="535" t="str">
        <f t="shared" si="3"/>
        <v>9101201000</v>
      </c>
      <c r="D106" s="455" t="e">
        <f>VLOOKUP(G106,Table!$Q$3:$R$21,2,FALSE)</f>
        <v>#N/A</v>
      </c>
      <c r="E106" s="452" t="s">
        <v>902</v>
      </c>
      <c r="F106" s="452" t="s">
        <v>1972</v>
      </c>
      <c r="G106" s="452" t="s">
        <v>1091</v>
      </c>
      <c r="H106" s="452" t="s">
        <v>2193</v>
      </c>
      <c r="I106" s="453" t="s">
        <v>844</v>
      </c>
      <c r="J106" s="453">
        <v>350395.04</v>
      </c>
      <c r="K106" s="461">
        <v>114140.48</v>
      </c>
      <c r="L106" s="461">
        <v>114760.68</v>
      </c>
      <c r="M106" s="461">
        <v>121493.88</v>
      </c>
      <c r="N106" s="461">
        <v>0</v>
      </c>
      <c r="O106" s="461">
        <v>0</v>
      </c>
      <c r="P106" s="461">
        <v>0</v>
      </c>
      <c r="Q106" s="461">
        <v>0</v>
      </c>
      <c r="R106" s="461">
        <v>0</v>
      </c>
      <c r="S106" s="461">
        <v>0</v>
      </c>
      <c r="T106" s="461">
        <v>0</v>
      </c>
      <c r="U106" s="461">
        <v>0</v>
      </c>
      <c r="V106" s="461">
        <v>0</v>
      </c>
    </row>
    <row r="107" spans="1:22" s="455" customFormat="1" ht="12.75" hidden="1" customHeight="1">
      <c r="A107" s="455" t="str">
        <f t="shared" si="2"/>
        <v>61109101201100</v>
      </c>
      <c r="B107" s="455">
        <f>VLOOKUP(LEFT($C$3:$C$2600,3),Table!$N$2:$O$88,2,FALSE)</f>
        <v>0</v>
      </c>
      <c r="C107" s="535" t="str">
        <f t="shared" si="3"/>
        <v>9101201100</v>
      </c>
      <c r="D107" s="455" t="e">
        <f>VLOOKUP(G107,Table!$Q$3:$R$21,2,FALSE)</f>
        <v>#N/A</v>
      </c>
      <c r="E107" s="452" t="s">
        <v>902</v>
      </c>
      <c r="F107" s="452" t="s">
        <v>1972</v>
      </c>
      <c r="G107" s="452" t="s">
        <v>2194</v>
      </c>
      <c r="H107" s="452" t="s">
        <v>2195</v>
      </c>
      <c r="I107" s="453" t="s">
        <v>844</v>
      </c>
      <c r="J107" s="453">
        <v>116294.68</v>
      </c>
      <c r="K107" s="461">
        <v>42016</v>
      </c>
      <c r="L107" s="461">
        <v>36008</v>
      </c>
      <c r="M107" s="461">
        <v>38270.68</v>
      </c>
      <c r="N107" s="461">
        <v>0</v>
      </c>
      <c r="O107" s="461">
        <v>0</v>
      </c>
      <c r="P107" s="461">
        <v>0</v>
      </c>
      <c r="Q107" s="461">
        <v>0</v>
      </c>
      <c r="R107" s="461">
        <v>0</v>
      </c>
      <c r="S107" s="461">
        <v>0</v>
      </c>
      <c r="T107" s="461">
        <v>0</v>
      </c>
      <c r="U107" s="461">
        <v>0</v>
      </c>
      <c r="V107" s="461">
        <v>0</v>
      </c>
    </row>
    <row r="108" spans="1:22" s="455" customFormat="1" ht="12.75" hidden="1" customHeight="1">
      <c r="A108" s="455" t="str">
        <f t="shared" si="2"/>
        <v>61109101201300</v>
      </c>
      <c r="B108" s="455">
        <f>VLOOKUP(LEFT($C$3:$C$2600,3),Table!$N$2:$O$88,2,FALSE)</f>
        <v>0</v>
      </c>
      <c r="C108" s="535" t="str">
        <f t="shared" si="3"/>
        <v>9101201300</v>
      </c>
      <c r="D108" s="455" t="e">
        <f>VLOOKUP(G108,Table!$Q$3:$R$21,2,FALSE)</f>
        <v>#N/A</v>
      </c>
      <c r="E108" s="452" t="s">
        <v>902</v>
      </c>
      <c r="F108" s="452" t="s">
        <v>1972</v>
      </c>
      <c r="G108" s="452" t="s">
        <v>2196</v>
      </c>
      <c r="H108" s="452" t="s">
        <v>2197</v>
      </c>
      <c r="I108" s="453" t="s">
        <v>844</v>
      </c>
      <c r="J108" s="453">
        <v>16553.830000000002</v>
      </c>
      <c r="K108" s="461">
        <v>5853.87</v>
      </c>
      <c r="L108" s="461">
        <v>5061.8900000000003</v>
      </c>
      <c r="M108" s="461">
        <v>5638.07</v>
      </c>
      <c r="N108" s="461">
        <v>0</v>
      </c>
      <c r="O108" s="461">
        <v>0</v>
      </c>
      <c r="P108" s="461">
        <v>0</v>
      </c>
      <c r="Q108" s="461">
        <v>0</v>
      </c>
      <c r="R108" s="461">
        <v>0</v>
      </c>
      <c r="S108" s="461">
        <v>0</v>
      </c>
      <c r="T108" s="461">
        <v>0</v>
      </c>
      <c r="U108" s="461">
        <v>0</v>
      </c>
      <c r="V108" s="461">
        <v>0</v>
      </c>
    </row>
    <row r="109" spans="1:22" s="455" customFormat="1" ht="12.75" hidden="1" customHeight="1">
      <c r="A109" s="455" t="str">
        <f t="shared" si="2"/>
        <v>61109101301000</v>
      </c>
      <c r="B109" s="455">
        <f>VLOOKUP(LEFT($C$3:$C$2600,3),Table!$N$2:$O$88,2,FALSE)</f>
        <v>0</v>
      </c>
      <c r="C109" s="535" t="str">
        <f t="shared" si="3"/>
        <v>9101301000</v>
      </c>
      <c r="D109" s="455" t="e">
        <f>VLOOKUP(G109,Table!$Q$3:$R$21,2,FALSE)</f>
        <v>#N/A</v>
      </c>
      <c r="E109" s="452" t="s">
        <v>902</v>
      </c>
      <c r="F109" s="452" t="s">
        <v>1972</v>
      </c>
      <c r="G109" s="452" t="s">
        <v>967</v>
      </c>
      <c r="H109" s="452" t="s">
        <v>2198</v>
      </c>
      <c r="I109" s="453" t="s">
        <v>844</v>
      </c>
      <c r="J109" s="453">
        <v>27135</v>
      </c>
      <c r="K109" s="461">
        <v>12825</v>
      </c>
      <c r="L109" s="461">
        <v>14310</v>
      </c>
      <c r="M109" s="461">
        <v>10800</v>
      </c>
      <c r="N109" s="461">
        <v>0</v>
      </c>
      <c r="O109" s="461">
        <v>0</v>
      </c>
      <c r="P109" s="461">
        <v>0</v>
      </c>
      <c r="Q109" s="461">
        <v>0</v>
      </c>
      <c r="R109" s="461">
        <v>0</v>
      </c>
      <c r="S109" s="461">
        <v>0</v>
      </c>
      <c r="T109" s="461">
        <v>0</v>
      </c>
      <c r="U109" s="461">
        <v>0</v>
      </c>
      <c r="V109" s="461">
        <v>0</v>
      </c>
    </row>
    <row r="110" spans="1:22" s="455" customFormat="1" ht="12.75" hidden="1" customHeight="1">
      <c r="A110" s="455" t="str">
        <f t="shared" si="2"/>
        <v>61109101301100</v>
      </c>
      <c r="B110" s="455">
        <f>VLOOKUP(LEFT($C$3:$C$2600,3),Table!$N$2:$O$88,2,FALSE)</f>
        <v>0</v>
      </c>
      <c r="C110" s="535" t="str">
        <f t="shared" si="3"/>
        <v>9101301100</v>
      </c>
      <c r="D110" s="455" t="e">
        <f>VLOOKUP(G110,Table!$Q$3:$R$21,2,FALSE)</f>
        <v>#N/A</v>
      </c>
      <c r="E110" s="452" t="s">
        <v>902</v>
      </c>
      <c r="F110" s="452" t="s">
        <v>1972</v>
      </c>
      <c r="G110" s="452" t="s">
        <v>2199</v>
      </c>
      <c r="H110" s="452" t="s">
        <v>2200</v>
      </c>
      <c r="I110" s="453" t="s">
        <v>844</v>
      </c>
      <c r="J110" s="453">
        <v>3889.57</v>
      </c>
      <c r="K110" s="461">
        <v>-798</v>
      </c>
      <c r="L110" s="461">
        <v>1802.91</v>
      </c>
      <c r="M110" s="461">
        <v>2884.66</v>
      </c>
      <c r="N110" s="461">
        <v>0</v>
      </c>
      <c r="O110" s="461">
        <v>0</v>
      </c>
      <c r="P110" s="461">
        <v>0</v>
      </c>
      <c r="Q110" s="461">
        <v>0</v>
      </c>
      <c r="R110" s="461">
        <v>0</v>
      </c>
      <c r="S110" s="461">
        <v>0</v>
      </c>
      <c r="T110" s="461">
        <v>0</v>
      </c>
      <c r="U110" s="461">
        <v>0</v>
      </c>
      <c r="V110" s="461">
        <v>0</v>
      </c>
    </row>
    <row r="111" spans="1:22" s="455" customFormat="1" ht="12.75" hidden="1" customHeight="1">
      <c r="A111" s="455" t="str">
        <f t="shared" si="2"/>
        <v>61109101301500</v>
      </c>
      <c r="B111" s="455">
        <f>VLOOKUP(LEFT($C$3:$C$2600,3),Table!$N$2:$O$88,2,FALSE)</f>
        <v>0</v>
      </c>
      <c r="C111" s="535" t="str">
        <f t="shared" si="3"/>
        <v>9101301500</v>
      </c>
      <c r="D111" s="455" t="e">
        <f>VLOOKUP(G111,Table!$Q$3:$R$21,2,FALSE)</f>
        <v>#N/A</v>
      </c>
      <c r="E111" s="452" t="s">
        <v>902</v>
      </c>
      <c r="F111" s="452" t="s">
        <v>1972</v>
      </c>
      <c r="G111" s="452" t="s">
        <v>971</v>
      </c>
      <c r="H111" s="452" t="s">
        <v>2201</v>
      </c>
      <c r="I111" s="453" t="s">
        <v>844</v>
      </c>
      <c r="J111" s="453">
        <v>310187.98</v>
      </c>
      <c r="K111" s="461">
        <v>172126.38</v>
      </c>
      <c r="L111" s="461">
        <v>111847.76</v>
      </c>
      <c r="M111" s="461">
        <v>26213.84</v>
      </c>
      <c r="N111" s="461">
        <v>0</v>
      </c>
      <c r="O111" s="461">
        <v>0</v>
      </c>
      <c r="P111" s="461">
        <v>0</v>
      </c>
      <c r="Q111" s="461">
        <v>0</v>
      </c>
      <c r="R111" s="461">
        <v>0</v>
      </c>
      <c r="S111" s="461">
        <v>0</v>
      </c>
      <c r="T111" s="461">
        <v>0</v>
      </c>
      <c r="U111" s="461">
        <v>0</v>
      </c>
      <c r="V111" s="461">
        <v>0</v>
      </c>
    </row>
    <row r="112" spans="1:22" s="455" customFormat="1" ht="12.75" hidden="1" customHeight="1">
      <c r="A112" s="455" t="str">
        <f t="shared" si="2"/>
        <v>61109101302000</v>
      </c>
      <c r="B112" s="455">
        <f>VLOOKUP(LEFT($C$3:$C$2600,3),Table!$N$2:$O$88,2,FALSE)</f>
        <v>0</v>
      </c>
      <c r="C112" s="535" t="str">
        <f t="shared" si="3"/>
        <v>9101302000</v>
      </c>
      <c r="D112" s="455" t="e">
        <f>VLOOKUP(G112,Table!$Q$3:$R$21,2,FALSE)</f>
        <v>#N/A</v>
      </c>
      <c r="E112" s="452" t="s">
        <v>902</v>
      </c>
      <c r="F112" s="452" t="s">
        <v>1972</v>
      </c>
      <c r="G112" s="452" t="s">
        <v>2202</v>
      </c>
      <c r="H112" s="452" t="s">
        <v>2203</v>
      </c>
      <c r="I112" s="453" t="s">
        <v>844</v>
      </c>
      <c r="J112" s="453">
        <v>17222.93</v>
      </c>
      <c r="K112" s="461">
        <v>550.1</v>
      </c>
      <c r="L112" s="461">
        <v>13492.83</v>
      </c>
      <c r="M112" s="461">
        <v>3180</v>
      </c>
      <c r="N112" s="461">
        <v>0</v>
      </c>
      <c r="O112" s="461">
        <v>0</v>
      </c>
      <c r="P112" s="461">
        <v>0</v>
      </c>
      <c r="Q112" s="461">
        <v>0</v>
      </c>
      <c r="R112" s="461">
        <v>0</v>
      </c>
      <c r="S112" s="461">
        <v>0</v>
      </c>
      <c r="T112" s="461">
        <v>0</v>
      </c>
      <c r="U112" s="461">
        <v>0</v>
      </c>
      <c r="V112" s="461">
        <v>0</v>
      </c>
    </row>
    <row r="113" spans="1:22" s="455" customFormat="1" ht="12.75" hidden="1" customHeight="1">
      <c r="A113" s="455" t="str">
        <f t="shared" si="2"/>
        <v>61109101303000</v>
      </c>
      <c r="B113" s="455">
        <f>VLOOKUP(LEFT($C$3:$C$2600,3),Table!$N$2:$O$88,2,FALSE)</f>
        <v>0</v>
      </c>
      <c r="C113" s="535" t="str">
        <f t="shared" si="3"/>
        <v>9101303000</v>
      </c>
      <c r="D113" s="455" t="e">
        <f>VLOOKUP(G113,Table!$Q$3:$R$21,2,FALSE)</f>
        <v>#N/A</v>
      </c>
      <c r="E113" s="452" t="s">
        <v>902</v>
      </c>
      <c r="F113" s="452" t="s">
        <v>1972</v>
      </c>
      <c r="G113" s="452" t="s">
        <v>2204</v>
      </c>
      <c r="H113" s="452" t="s">
        <v>1973</v>
      </c>
      <c r="I113" s="453" t="s">
        <v>844</v>
      </c>
      <c r="J113" s="453">
        <v>42100.42</v>
      </c>
      <c r="K113" s="461">
        <v>31282.32</v>
      </c>
      <c r="L113" s="461">
        <v>7602.6</v>
      </c>
      <c r="M113" s="461">
        <v>6180.5</v>
      </c>
      <c r="N113" s="461">
        <v>0</v>
      </c>
      <c r="O113" s="461">
        <v>0</v>
      </c>
      <c r="P113" s="461">
        <v>0</v>
      </c>
      <c r="Q113" s="461">
        <v>0</v>
      </c>
      <c r="R113" s="461">
        <v>0</v>
      </c>
      <c r="S113" s="461">
        <v>0</v>
      </c>
      <c r="T113" s="461">
        <v>0</v>
      </c>
      <c r="U113" s="461">
        <v>0</v>
      </c>
      <c r="V113" s="461">
        <v>0</v>
      </c>
    </row>
    <row r="114" spans="1:22" s="455" customFormat="1" ht="12.75" hidden="1" customHeight="1">
      <c r="A114" s="455" t="str">
        <f t="shared" si="2"/>
        <v>61109101305000</v>
      </c>
      <c r="B114" s="455">
        <f>VLOOKUP(LEFT($C$3:$C$2600,3),Table!$N$2:$O$88,2,FALSE)</f>
        <v>0</v>
      </c>
      <c r="C114" s="535" t="str">
        <f t="shared" si="3"/>
        <v>9101305000</v>
      </c>
      <c r="D114" s="455" t="e">
        <f>VLOOKUP(G114,Table!$Q$3:$R$21,2,FALSE)</f>
        <v>#N/A</v>
      </c>
      <c r="E114" s="452" t="s">
        <v>902</v>
      </c>
      <c r="F114" s="452" t="s">
        <v>1972</v>
      </c>
      <c r="G114" s="452" t="s">
        <v>983</v>
      </c>
      <c r="H114" s="452" t="s">
        <v>2205</v>
      </c>
      <c r="I114" s="453" t="s">
        <v>844</v>
      </c>
      <c r="J114" s="453">
        <v>89302</v>
      </c>
      <c r="K114" s="461">
        <v>34238</v>
      </c>
      <c r="L114" s="461">
        <v>50350</v>
      </c>
      <c r="M114" s="461">
        <v>4714</v>
      </c>
      <c r="N114" s="461">
        <v>0</v>
      </c>
      <c r="O114" s="461">
        <v>0</v>
      </c>
      <c r="P114" s="461">
        <v>0</v>
      </c>
      <c r="Q114" s="461">
        <v>0</v>
      </c>
      <c r="R114" s="461">
        <v>0</v>
      </c>
      <c r="S114" s="461">
        <v>0</v>
      </c>
      <c r="T114" s="461">
        <v>0</v>
      </c>
      <c r="U114" s="461">
        <v>0</v>
      </c>
      <c r="V114" s="461">
        <v>0</v>
      </c>
    </row>
    <row r="115" spans="1:22" s="455" customFormat="1" ht="12.75" hidden="1" customHeight="1">
      <c r="A115" s="455" t="str">
        <f t="shared" si="2"/>
        <v>61109101306300</v>
      </c>
      <c r="B115" s="455">
        <f>VLOOKUP(LEFT($C$3:$C$2600,3),Table!$N$2:$O$88,2,FALSE)</f>
        <v>0</v>
      </c>
      <c r="C115" s="535" t="str">
        <f t="shared" si="3"/>
        <v>9101306300</v>
      </c>
      <c r="D115" s="455" t="e">
        <f>VLOOKUP(G115,Table!$Q$3:$R$21,2,FALSE)</f>
        <v>#N/A</v>
      </c>
      <c r="E115" s="452" t="s">
        <v>902</v>
      </c>
      <c r="F115" s="452" t="s">
        <v>1972</v>
      </c>
      <c r="G115" s="452" t="s">
        <v>1164</v>
      </c>
      <c r="H115" s="452" t="s">
        <v>2206</v>
      </c>
      <c r="I115" s="453" t="s">
        <v>844</v>
      </c>
      <c r="J115" s="453">
        <v>21994.89</v>
      </c>
      <c r="K115" s="461">
        <v>1406.5</v>
      </c>
      <c r="L115" s="461">
        <v>11663.01</v>
      </c>
      <c r="M115" s="461">
        <v>8925.3799999999992</v>
      </c>
      <c r="N115" s="461">
        <v>0</v>
      </c>
      <c r="O115" s="461">
        <v>0</v>
      </c>
      <c r="P115" s="461">
        <v>0</v>
      </c>
      <c r="Q115" s="461">
        <v>0</v>
      </c>
      <c r="R115" s="461">
        <v>0</v>
      </c>
      <c r="S115" s="461">
        <v>0</v>
      </c>
      <c r="T115" s="461">
        <v>0</v>
      </c>
      <c r="U115" s="461">
        <v>0</v>
      </c>
      <c r="V115" s="461">
        <v>0</v>
      </c>
    </row>
    <row r="116" spans="1:22" s="455" customFormat="1" ht="12.75" hidden="1" customHeight="1">
      <c r="A116" s="455" t="str">
        <f t="shared" si="2"/>
        <v>61109101307500</v>
      </c>
      <c r="B116" s="455">
        <f>VLOOKUP(LEFT($C$3:$C$2600,3),Table!$N$2:$O$88,2,FALSE)</f>
        <v>0</v>
      </c>
      <c r="C116" s="535" t="str">
        <f t="shared" si="3"/>
        <v>9101307500</v>
      </c>
      <c r="D116" s="455" t="e">
        <f>VLOOKUP(G116,Table!$Q$3:$R$21,2,FALSE)</f>
        <v>#N/A</v>
      </c>
      <c r="E116" s="452" t="s">
        <v>902</v>
      </c>
      <c r="F116" s="452" t="s">
        <v>1972</v>
      </c>
      <c r="G116" s="452" t="s">
        <v>2207</v>
      </c>
      <c r="H116" s="452" t="s">
        <v>2208</v>
      </c>
      <c r="I116" s="453" t="s">
        <v>844</v>
      </c>
      <c r="J116" s="453">
        <v>99844.44</v>
      </c>
      <c r="K116" s="461">
        <v>36107.019999999997</v>
      </c>
      <c r="L116" s="461">
        <v>41416.239999999998</v>
      </c>
      <c r="M116" s="461">
        <v>22321.18</v>
      </c>
      <c r="N116" s="461">
        <v>0</v>
      </c>
      <c r="O116" s="461">
        <v>0</v>
      </c>
      <c r="P116" s="461">
        <v>0</v>
      </c>
      <c r="Q116" s="461">
        <v>0</v>
      </c>
      <c r="R116" s="461">
        <v>0</v>
      </c>
      <c r="S116" s="461">
        <v>0</v>
      </c>
      <c r="T116" s="461">
        <v>0</v>
      </c>
      <c r="U116" s="461">
        <v>0</v>
      </c>
      <c r="V116" s="461">
        <v>0</v>
      </c>
    </row>
    <row r="117" spans="1:22" s="455" customFormat="1" ht="12.75" hidden="1" customHeight="1">
      <c r="A117" s="455" t="str">
        <f t="shared" si="2"/>
        <v>61109101308000</v>
      </c>
      <c r="B117" s="455">
        <f>VLOOKUP(LEFT($C$3:$C$2600,3),Table!$N$2:$O$88,2,FALSE)</f>
        <v>0</v>
      </c>
      <c r="C117" s="535" t="str">
        <f t="shared" si="3"/>
        <v>9101308000</v>
      </c>
      <c r="D117" s="455" t="e">
        <f>VLOOKUP(G117,Table!$Q$3:$R$21,2,FALSE)</f>
        <v>#N/A</v>
      </c>
      <c r="E117" s="452" t="s">
        <v>902</v>
      </c>
      <c r="F117" s="452" t="s">
        <v>1972</v>
      </c>
      <c r="G117" s="452" t="s">
        <v>2209</v>
      </c>
      <c r="H117" s="452" t="s">
        <v>2210</v>
      </c>
      <c r="I117" s="453" t="s">
        <v>844</v>
      </c>
      <c r="J117" s="453">
        <v>55468.800000000003</v>
      </c>
      <c r="K117" s="461">
        <v>18489.599999999999</v>
      </c>
      <c r="L117" s="461">
        <v>27734.400000000001</v>
      </c>
      <c r="M117" s="461">
        <v>9244.7999999999993</v>
      </c>
      <c r="N117" s="461">
        <v>0</v>
      </c>
      <c r="O117" s="461">
        <v>0</v>
      </c>
      <c r="P117" s="461">
        <v>0</v>
      </c>
      <c r="Q117" s="461">
        <v>0</v>
      </c>
      <c r="R117" s="461">
        <v>0</v>
      </c>
      <c r="S117" s="461">
        <v>0</v>
      </c>
      <c r="T117" s="461">
        <v>0</v>
      </c>
      <c r="U117" s="461">
        <v>0</v>
      </c>
      <c r="V117" s="461">
        <v>0</v>
      </c>
    </row>
    <row r="118" spans="1:22" s="455" customFormat="1" ht="12.75" hidden="1" customHeight="1">
      <c r="A118" s="455" t="str">
        <f t="shared" si="2"/>
        <v>61109101309000</v>
      </c>
      <c r="B118" s="455">
        <f>VLOOKUP(LEFT($C$3:$C$2600,3),Table!$N$2:$O$88,2,FALSE)</f>
        <v>0</v>
      </c>
      <c r="C118" s="535" t="str">
        <f t="shared" si="3"/>
        <v>9101309000</v>
      </c>
      <c r="D118" s="455" t="e">
        <f>VLOOKUP(G118,Table!$Q$3:$R$21,2,FALSE)</f>
        <v>#N/A</v>
      </c>
      <c r="E118" s="452" t="s">
        <v>902</v>
      </c>
      <c r="F118" s="452" t="s">
        <v>1972</v>
      </c>
      <c r="G118" s="452" t="s">
        <v>2211</v>
      </c>
      <c r="H118" s="452" t="s">
        <v>2212</v>
      </c>
      <c r="I118" s="453" t="s">
        <v>844</v>
      </c>
      <c r="J118" s="453">
        <v>35866.800000000003</v>
      </c>
      <c r="K118" s="461">
        <v>15940.8</v>
      </c>
      <c r="L118" s="461">
        <v>11955.6</v>
      </c>
      <c r="M118" s="461">
        <v>7970.4</v>
      </c>
      <c r="N118" s="461">
        <v>0</v>
      </c>
      <c r="O118" s="461">
        <v>0</v>
      </c>
      <c r="P118" s="461">
        <v>0</v>
      </c>
      <c r="Q118" s="461">
        <v>0</v>
      </c>
      <c r="R118" s="461">
        <v>0</v>
      </c>
      <c r="S118" s="461">
        <v>0</v>
      </c>
      <c r="T118" s="461">
        <v>0</v>
      </c>
      <c r="U118" s="461">
        <v>0</v>
      </c>
      <c r="V118" s="461">
        <v>0</v>
      </c>
    </row>
    <row r="119" spans="1:22" s="455" customFormat="1" ht="12.75" hidden="1" customHeight="1">
      <c r="A119" s="455" t="str">
        <f t="shared" si="2"/>
        <v>61109101310000</v>
      </c>
      <c r="B119" s="455">
        <f>VLOOKUP(LEFT($C$3:$C$2600,3),Table!$N$2:$O$88,2,FALSE)</f>
        <v>0</v>
      </c>
      <c r="C119" s="535" t="str">
        <f t="shared" si="3"/>
        <v>9101310000</v>
      </c>
      <c r="D119" s="455" t="e">
        <f>VLOOKUP(G119,Table!$Q$3:$R$21,2,FALSE)</f>
        <v>#N/A</v>
      </c>
      <c r="E119" s="452" t="s">
        <v>902</v>
      </c>
      <c r="F119" s="452" t="s">
        <v>1972</v>
      </c>
      <c r="G119" s="452" t="s">
        <v>2213</v>
      </c>
      <c r="H119" s="452" t="s">
        <v>2214</v>
      </c>
      <c r="I119" s="453" t="s">
        <v>844</v>
      </c>
      <c r="J119" s="453">
        <v>89584.94</v>
      </c>
      <c r="K119" s="461">
        <v>24941.41</v>
      </c>
      <c r="L119" s="461">
        <v>34178.25</v>
      </c>
      <c r="M119" s="461">
        <v>30465.279999999999</v>
      </c>
      <c r="N119" s="461">
        <v>0</v>
      </c>
      <c r="O119" s="461">
        <v>0</v>
      </c>
      <c r="P119" s="461">
        <v>0</v>
      </c>
      <c r="Q119" s="461">
        <v>0</v>
      </c>
      <c r="R119" s="461">
        <v>0</v>
      </c>
      <c r="S119" s="461">
        <v>0</v>
      </c>
      <c r="T119" s="461">
        <v>0</v>
      </c>
      <c r="U119" s="461">
        <v>0</v>
      </c>
      <c r="V119" s="461">
        <v>0</v>
      </c>
    </row>
    <row r="120" spans="1:22" s="455" customFormat="1" ht="12.75" hidden="1" customHeight="1">
      <c r="A120" s="455" t="str">
        <f t="shared" si="2"/>
        <v>61109101315000</v>
      </c>
      <c r="B120" s="455">
        <f>VLOOKUP(LEFT($C$3:$C$2600,3),Table!$N$2:$O$88,2,FALSE)</f>
        <v>0</v>
      </c>
      <c r="C120" s="535" t="str">
        <f t="shared" si="3"/>
        <v>9101315000</v>
      </c>
      <c r="D120" s="455" t="e">
        <f>VLOOKUP(G120,Table!$Q$3:$R$21,2,FALSE)</f>
        <v>#N/A</v>
      </c>
      <c r="E120" s="452" t="s">
        <v>902</v>
      </c>
      <c r="F120" s="452" t="s">
        <v>1972</v>
      </c>
      <c r="G120" s="452" t="s">
        <v>2215</v>
      </c>
      <c r="H120" s="452" t="s">
        <v>2216</v>
      </c>
      <c r="I120" s="453" t="s">
        <v>844</v>
      </c>
      <c r="J120" s="453">
        <v>47312.55</v>
      </c>
      <c r="K120" s="461">
        <v>17782.759999999998</v>
      </c>
      <c r="L120" s="461">
        <v>23826.61</v>
      </c>
      <c r="M120" s="461">
        <v>5703.18</v>
      </c>
      <c r="N120" s="461">
        <v>0</v>
      </c>
      <c r="O120" s="461">
        <v>0</v>
      </c>
      <c r="P120" s="461">
        <v>0</v>
      </c>
      <c r="Q120" s="461">
        <v>0</v>
      </c>
      <c r="R120" s="461">
        <v>0</v>
      </c>
      <c r="S120" s="461">
        <v>0</v>
      </c>
      <c r="T120" s="461">
        <v>0</v>
      </c>
      <c r="U120" s="461">
        <v>0</v>
      </c>
      <c r="V120" s="461">
        <v>0</v>
      </c>
    </row>
    <row r="121" spans="1:22" s="455" customFormat="1" ht="12.75" hidden="1" customHeight="1">
      <c r="A121" s="455" t="str">
        <f t="shared" si="2"/>
        <v>61109101330000</v>
      </c>
      <c r="B121" s="455">
        <f>VLOOKUP(LEFT($C$3:$C$2600,3),Table!$N$2:$O$88,2,FALSE)</f>
        <v>0</v>
      </c>
      <c r="C121" s="535" t="str">
        <f t="shared" si="3"/>
        <v>9101330000</v>
      </c>
      <c r="D121" s="455" t="e">
        <f>VLOOKUP(G121,Table!$Q$3:$R$21,2,FALSE)</f>
        <v>#N/A</v>
      </c>
      <c r="E121" s="452" t="s">
        <v>902</v>
      </c>
      <c r="F121" s="452" t="s">
        <v>1972</v>
      </c>
      <c r="G121" s="452" t="s">
        <v>2217</v>
      </c>
      <c r="H121" s="452" t="s">
        <v>2218</v>
      </c>
      <c r="I121" s="453" t="s">
        <v>844</v>
      </c>
      <c r="J121" s="453">
        <v>46112.89</v>
      </c>
      <c r="K121" s="461">
        <v>6520.89</v>
      </c>
      <c r="L121" s="461">
        <v>9975</v>
      </c>
      <c r="M121" s="461">
        <v>29617</v>
      </c>
      <c r="N121" s="461">
        <v>0</v>
      </c>
      <c r="O121" s="461">
        <v>0</v>
      </c>
      <c r="P121" s="461">
        <v>0</v>
      </c>
      <c r="Q121" s="461">
        <v>0</v>
      </c>
      <c r="R121" s="461">
        <v>0</v>
      </c>
      <c r="S121" s="461">
        <v>0</v>
      </c>
      <c r="T121" s="461">
        <v>0</v>
      </c>
      <c r="U121" s="461">
        <v>0</v>
      </c>
      <c r="V121" s="461">
        <v>0</v>
      </c>
    </row>
    <row r="122" spans="1:22" s="455" customFormat="1" ht="12.75" hidden="1" customHeight="1">
      <c r="A122" s="455" t="str">
        <f t="shared" si="2"/>
        <v>61109101335000</v>
      </c>
      <c r="B122" s="455">
        <f>VLOOKUP(LEFT($C$3:$C$2600,3),Table!$N$2:$O$88,2,FALSE)</f>
        <v>0</v>
      </c>
      <c r="C122" s="535" t="str">
        <f t="shared" si="3"/>
        <v>9101335000</v>
      </c>
      <c r="D122" s="455" t="e">
        <f>VLOOKUP(G122,Table!$Q$3:$R$21,2,FALSE)</f>
        <v>#N/A</v>
      </c>
      <c r="E122" s="452" t="s">
        <v>902</v>
      </c>
      <c r="F122" s="452" t="s">
        <v>1972</v>
      </c>
      <c r="G122" s="452" t="s">
        <v>2219</v>
      </c>
      <c r="H122" s="452" t="s">
        <v>2220</v>
      </c>
      <c r="I122" s="453" t="s">
        <v>844</v>
      </c>
      <c r="J122" s="453">
        <v>47523.98</v>
      </c>
      <c r="K122" s="461">
        <v>29089</v>
      </c>
      <c r="L122" s="461">
        <v>11635.6</v>
      </c>
      <c r="M122" s="461">
        <v>6799.38</v>
      </c>
      <c r="N122" s="461">
        <v>0</v>
      </c>
      <c r="O122" s="461">
        <v>0</v>
      </c>
      <c r="P122" s="461">
        <v>0</v>
      </c>
      <c r="Q122" s="461">
        <v>0</v>
      </c>
      <c r="R122" s="461">
        <v>0</v>
      </c>
      <c r="S122" s="461">
        <v>0</v>
      </c>
      <c r="T122" s="461">
        <v>0</v>
      </c>
      <c r="U122" s="461">
        <v>0</v>
      </c>
      <c r="V122" s="461">
        <v>0</v>
      </c>
    </row>
    <row r="123" spans="1:22" s="455" customFormat="1" ht="12.75" hidden="1" customHeight="1">
      <c r="A123" s="455" t="str">
        <f t="shared" si="2"/>
        <v>61109101340000</v>
      </c>
      <c r="B123" s="455">
        <f>VLOOKUP(LEFT($C$3:$C$2600,3),Table!$N$2:$O$88,2,FALSE)</f>
        <v>0</v>
      </c>
      <c r="C123" s="535" t="str">
        <f t="shared" si="3"/>
        <v>9101340000</v>
      </c>
      <c r="D123" s="455" t="e">
        <f>VLOOKUP(G123,Table!$Q$3:$R$21,2,FALSE)</f>
        <v>#N/A</v>
      </c>
      <c r="E123" s="452" t="s">
        <v>902</v>
      </c>
      <c r="F123" s="452" t="s">
        <v>1972</v>
      </c>
      <c r="G123" s="452" t="s">
        <v>2221</v>
      </c>
      <c r="H123" s="452" t="s">
        <v>2222</v>
      </c>
      <c r="I123" s="453" t="s">
        <v>844</v>
      </c>
      <c r="J123" s="453">
        <v>128462.26</v>
      </c>
      <c r="K123" s="461">
        <v>45299.13</v>
      </c>
      <c r="L123" s="461">
        <v>38863.019999999997</v>
      </c>
      <c r="M123" s="461">
        <v>44300.11</v>
      </c>
      <c r="N123" s="461">
        <v>0</v>
      </c>
      <c r="O123" s="461">
        <v>0</v>
      </c>
      <c r="P123" s="461">
        <v>0</v>
      </c>
      <c r="Q123" s="461">
        <v>0</v>
      </c>
      <c r="R123" s="461">
        <v>0</v>
      </c>
      <c r="S123" s="461">
        <v>0</v>
      </c>
      <c r="T123" s="461">
        <v>0</v>
      </c>
      <c r="U123" s="461">
        <v>0</v>
      </c>
      <c r="V123" s="461">
        <v>0</v>
      </c>
    </row>
    <row r="124" spans="1:22" s="455" customFormat="1" ht="12.75" hidden="1" customHeight="1">
      <c r="A124" s="455" t="str">
        <f t="shared" si="2"/>
        <v>61109101345000</v>
      </c>
      <c r="B124" s="455">
        <f>VLOOKUP(LEFT($C$3:$C$2600,3),Table!$N$2:$O$88,2,FALSE)</f>
        <v>0</v>
      </c>
      <c r="C124" s="535" t="str">
        <f t="shared" si="3"/>
        <v>9101345000</v>
      </c>
      <c r="D124" s="455" t="e">
        <f>VLOOKUP(G124,Table!$Q$3:$R$21,2,FALSE)</f>
        <v>#N/A</v>
      </c>
      <c r="E124" s="452" t="s">
        <v>902</v>
      </c>
      <c r="F124" s="452" t="s">
        <v>1972</v>
      </c>
      <c r="G124" s="452" t="s">
        <v>2223</v>
      </c>
      <c r="H124" s="452" t="s">
        <v>2224</v>
      </c>
      <c r="I124" s="453" t="s">
        <v>844</v>
      </c>
      <c r="J124" s="453">
        <v>12682.5</v>
      </c>
      <c r="K124" s="461">
        <v>2980.88</v>
      </c>
      <c r="L124" s="461">
        <v>4088.96</v>
      </c>
      <c r="M124" s="461">
        <v>5612.66</v>
      </c>
      <c r="N124" s="461">
        <v>0</v>
      </c>
      <c r="O124" s="461">
        <v>0</v>
      </c>
      <c r="P124" s="461">
        <v>0</v>
      </c>
      <c r="Q124" s="461">
        <v>0</v>
      </c>
      <c r="R124" s="461">
        <v>0</v>
      </c>
      <c r="S124" s="461">
        <v>0</v>
      </c>
      <c r="T124" s="461">
        <v>0</v>
      </c>
      <c r="U124" s="461">
        <v>0</v>
      </c>
      <c r="V124" s="461">
        <v>0</v>
      </c>
    </row>
    <row r="125" spans="1:22" s="455" customFormat="1" ht="12.75" hidden="1" customHeight="1">
      <c r="A125" s="455" t="str">
        <f t="shared" si="2"/>
        <v>61109101350000</v>
      </c>
      <c r="B125" s="455">
        <f>VLOOKUP(LEFT($C$3:$C$2600,3),Table!$N$2:$O$88,2,FALSE)</f>
        <v>0</v>
      </c>
      <c r="C125" s="535" t="str">
        <f t="shared" si="3"/>
        <v>9101350000</v>
      </c>
      <c r="D125" s="455" t="e">
        <f>VLOOKUP(G125,Table!$Q$3:$R$21,2,FALSE)</f>
        <v>#N/A</v>
      </c>
      <c r="E125" s="452" t="s">
        <v>902</v>
      </c>
      <c r="F125" s="452" t="s">
        <v>1972</v>
      </c>
      <c r="G125" s="452" t="s">
        <v>2225</v>
      </c>
      <c r="H125" s="452" t="s">
        <v>2226</v>
      </c>
      <c r="I125" s="453" t="s">
        <v>844</v>
      </c>
      <c r="J125" s="453">
        <v>64476.639999999999</v>
      </c>
      <c r="K125" s="461">
        <v>22871.48</v>
      </c>
      <c r="L125" s="461">
        <v>21692.05</v>
      </c>
      <c r="M125" s="461">
        <v>19913.11</v>
      </c>
      <c r="N125" s="461">
        <v>0</v>
      </c>
      <c r="O125" s="461">
        <v>0</v>
      </c>
      <c r="P125" s="461">
        <v>0</v>
      </c>
      <c r="Q125" s="461">
        <v>0</v>
      </c>
      <c r="R125" s="461">
        <v>0</v>
      </c>
      <c r="S125" s="461">
        <v>0</v>
      </c>
      <c r="T125" s="461">
        <v>0</v>
      </c>
      <c r="U125" s="461">
        <v>0</v>
      </c>
      <c r="V125" s="461">
        <v>0</v>
      </c>
    </row>
    <row r="126" spans="1:22" s="455" customFormat="1" ht="12.75" hidden="1" customHeight="1">
      <c r="A126" s="455" t="str">
        <f t="shared" si="2"/>
        <v>61109101360000</v>
      </c>
      <c r="B126" s="455">
        <f>VLOOKUP(LEFT($C$3:$C$2600,3),Table!$N$2:$O$88,2,FALSE)</f>
        <v>0</v>
      </c>
      <c r="C126" s="535" t="str">
        <f t="shared" si="3"/>
        <v>9101360000</v>
      </c>
      <c r="D126" s="455" t="e">
        <f>VLOOKUP(G126,Table!$Q$3:$R$21,2,FALSE)</f>
        <v>#N/A</v>
      </c>
      <c r="E126" s="452" t="s">
        <v>902</v>
      </c>
      <c r="F126" s="452" t="s">
        <v>1972</v>
      </c>
      <c r="G126" s="452" t="s">
        <v>2227</v>
      </c>
      <c r="H126" s="452" t="s">
        <v>2228</v>
      </c>
      <c r="I126" s="453" t="s">
        <v>844</v>
      </c>
      <c r="J126" s="453">
        <v>97200</v>
      </c>
      <c r="K126" s="461">
        <v>27216</v>
      </c>
      <c r="L126" s="461">
        <v>54432</v>
      </c>
      <c r="M126" s="461">
        <v>15552</v>
      </c>
      <c r="N126" s="461">
        <v>0</v>
      </c>
      <c r="O126" s="461">
        <v>0</v>
      </c>
      <c r="P126" s="461">
        <v>0</v>
      </c>
      <c r="Q126" s="461">
        <v>0</v>
      </c>
      <c r="R126" s="461">
        <v>0</v>
      </c>
      <c r="S126" s="461">
        <v>0</v>
      </c>
      <c r="T126" s="461">
        <v>0</v>
      </c>
      <c r="U126" s="461">
        <v>0</v>
      </c>
      <c r="V126" s="461">
        <v>0</v>
      </c>
    </row>
    <row r="127" spans="1:22" s="455" customFormat="1" ht="12.75" hidden="1" customHeight="1">
      <c r="A127" s="455" t="str">
        <f t="shared" si="2"/>
        <v>61109101380000</v>
      </c>
      <c r="B127" s="455">
        <f>VLOOKUP(LEFT($C$3:$C$2600,3),Table!$N$2:$O$88,2,FALSE)</f>
        <v>0</v>
      </c>
      <c r="C127" s="535" t="str">
        <f t="shared" si="3"/>
        <v>9101380000</v>
      </c>
      <c r="D127" s="455" t="e">
        <f>VLOOKUP(G127,Table!$Q$3:$R$21,2,FALSE)</f>
        <v>#N/A</v>
      </c>
      <c r="E127" s="452" t="s">
        <v>902</v>
      </c>
      <c r="F127" s="452" t="s">
        <v>1972</v>
      </c>
      <c r="G127" s="452" t="s">
        <v>2229</v>
      </c>
      <c r="H127" s="452" t="s">
        <v>2230</v>
      </c>
      <c r="I127" s="453" t="s">
        <v>844</v>
      </c>
      <c r="J127" s="453">
        <v>285185.38</v>
      </c>
      <c r="K127" s="461">
        <v>100400.4</v>
      </c>
      <c r="L127" s="461">
        <v>66933.600000000006</v>
      </c>
      <c r="M127" s="461">
        <v>117851.38</v>
      </c>
      <c r="N127" s="461">
        <v>0</v>
      </c>
      <c r="O127" s="461">
        <v>0</v>
      </c>
      <c r="P127" s="461">
        <v>0</v>
      </c>
      <c r="Q127" s="461">
        <v>0</v>
      </c>
      <c r="R127" s="461">
        <v>0</v>
      </c>
      <c r="S127" s="461">
        <v>0</v>
      </c>
      <c r="T127" s="461">
        <v>0</v>
      </c>
      <c r="U127" s="461">
        <v>0</v>
      </c>
      <c r="V127" s="461">
        <v>0</v>
      </c>
    </row>
    <row r="128" spans="1:22" s="455" customFormat="1" ht="12.75" hidden="1" customHeight="1">
      <c r="A128" s="455" t="str">
        <f t="shared" si="2"/>
        <v>61109101385000</v>
      </c>
      <c r="B128" s="455">
        <f>VLOOKUP(LEFT($C$3:$C$2600,3),Table!$N$2:$O$88,2,FALSE)</f>
        <v>0</v>
      </c>
      <c r="C128" s="535" t="str">
        <f t="shared" si="3"/>
        <v>9101385000</v>
      </c>
      <c r="D128" s="455" t="e">
        <f>VLOOKUP(G128,Table!$Q$3:$R$21,2,FALSE)</f>
        <v>#N/A</v>
      </c>
      <c r="E128" s="452" t="s">
        <v>902</v>
      </c>
      <c r="F128" s="452" t="s">
        <v>1972</v>
      </c>
      <c r="G128" s="452" t="s">
        <v>2231</v>
      </c>
      <c r="H128" s="452" t="s">
        <v>2232</v>
      </c>
      <c r="I128" s="453" t="s">
        <v>844</v>
      </c>
      <c r="J128" s="453">
        <v>98241.2</v>
      </c>
      <c r="K128" s="461">
        <v>5973.4</v>
      </c>
      <c r="L128" s="461">
        <v>44480.6</v>
      </c>
      <c r="M128" s="461">
        <v>47787.199999999997</v>
      </c>
      <c r="N128" s="461">
        <v>0</v>
      </c>
      <c r="O128" s="461">
        <v>0</v>
      </c>
      <c r="P128" s="461">
        <v>0</v>
      </c>
      <c r="Q128" s="461">
        <v>0</v>
      </c>
      <c r="R128" s="461">
        <v>0</v>
      </c>
      <c r="S128" s="461">
        <v>0</v>
      </c>
      <c r="T128" s="461">
        <v>0</v>
      </c>
      <c r="U128" s="461">
        <v>0</v>
      </c>
      <c r="V128" s="461">
        <v>0</v>
      </c>
    </row>
    <row r="129" spans="1:22" s="455" customFormat="1" ht="12.75" hidden="1" customHeight="1">
      <c r="A129" s="455" t="str">
        <f t="shared" si="2"/>
        <v>61109101387500</v>
      </c>
      <c r="B129" s="455">
        <f>VLOOKUP(LEFT($C$3:$C$2600,3),Table!$N$2:$O$88,2,FALSE)</f>
        <v>0</v>
      </c>
      <c r="C129" s="535" t="str">
        <f t="shared" si="3"/>
        <v>9101387500</v>
      </c>
      <c r="D129" s="455" t="e">
        <f>VLOOKUP(G129,Table!$Q$3:$R$21,2,FALSE)</f>
        <v>#N/A</v>
      </c>
      <c r="E129" s="452" t="s">
        <v>902</v>
      </c>
      <c r="F129" s="452" t="s">
        <v>1972</v>
      </c>
      <c r="G129" s="452" t="s">
        <v>2233</v>
      </c>
      <c r="H129" s="452" t="s">
        <v>2234</v>
      </c>
      <c r="I129" s="453" t="s">
        <v>844</v>
      </c>
      <c r="J129" s="453">
        <v>19634.2</v>
      </c>
      <c r="K129" s="461">
        <v>8061</v>
      </c>
      <c r="L129" s="461">
        <v>-109.2</v>
      </c>
      <c r="M129" s="461">
        <v>11682.4</v>
      </c>
      <c r="N129" s="461">
        <v>0</v>
      </c>
      <c r="O129" s="461">
        <v>0</v>
      </c>
      <c r="P129" s="461">
        <v>0</v>
      </c>
      <c r="Q129" s="461">
        <v>0</v>
      </c>
      <c r="R129" s="461">
        <v>0</v>
      </c>
      <c r="S129" s="461">
        <v>0</v>
      </c>
      <c r="T129" s="461">
        <v>0</v>
      </c>
      <c r="U129" s="461">
        <v>0</v>
      </c>
      <c r="V129" s="461">
        <v>0</v>
      </c>
    </row>
    <row r="130" spans="1:22" s="455" customFormat="1" ht="12.75" hidden="1" customHeight="1">
      <c r="A130" s="455" t="str">
        <f t="shared" si="2"/>
        <v>61209101401000</v>
      </c>
      <c r="B130" s="455">
        <f>VLOOKUP(LEFT($C$3:$C$2600,3),Table!$N$2:$O$88,2,FALSE)</f>
        <v>0</v>
      </c>
      <c r="C130" s="535" t="str">
        <f t="shared" si="3"/>
        <v>9101401000</v>
      </c>
      <c r="D130" s="455" t="e">
        <f>VLOOKUP(G130,Table!$Q$3:$R$21,2,FALSE)</f>
        <v>#N/A</v>
      </c>
      <c r="E130" s="452" t="s">
        <v>902</v>
      </c>
      <c r="F130" s="452" t="s">
        <v>1976</v>
      </c>
      <c r="G130" s="452" t="s">
        <v>1285</v>
      </c>
      <c r="H130" s="452" t="s">
        <v>1978</v>
      </c>
      <c r="I130" s="453" t="s">
        <v>844</v>
      </c>
      <c r="J130" s="453">
        <v>18179</v>
      </c>
      <c r="K130" s="461">
        <v>5603</v>
      </c>
      <c r="L130" s="461">
        <v>5105</v>
      </c>
      <c r="M130" s="461">
        <v>7471</v>
      </c>
      <c r="N130" s="461">
        <v>0</v>
      </c>
      <c r="O130" s="461">
        <v>0</v>
      </c>
      <c r="P130" s="461">
        <v>0</v>
      </c>
      <c r="Q130" s="461">
        <v>0</v>
      </c>
      <c r="R130" s="461">
        <v>0</v>
      </c>
      <c r="S130" s="461">
        <v>0</v>
      </c>
      <c r="T130" s="461">
        <v>0</v>
      </c>
      <c r="U130" s="461">
        <v>0</v>
      </c>
      <c r="V130" s="461">
        <v>0</v>
      </c>
    </row>
    <row r="131" spans="1:22" s="455" customFormat="1" ht="12.75" hidden="1" customHeight="1">
      <c r="A131" s="455" t="str">
        <f t="shared" si="2"/>
        <v>61209101401100</v>
      </c>
      <c r="B131" s="455">
        <f>VLOOKUP(LEFT($C$3:$C$2600,3),Table!$N$2:$O$88,2,FALSE)</f>
        <v>0</v>
      </c>
      <c r="C131" s="535" t="str">
        <f t="shared" si="3"/>
        <v>9101401100</v>
      </c>
      <c r="D131" s="455" t="e">
        <f>VLOOKUP(G131,Table!$Q$3:$R$21,2,FALSE)</f>
        <v>#N/A</v>
      </c>
      <c r="E131" s="452" t="s">
        <v>902</v>
      </c>
      <c r="F131" s="452" t="s">
        <v>1976</v>
      </c>
      <c r="G131" s="452" t="s">
        <v>1287</v>
      </c>
      <c r="H131" s="452" t="s">
        <v>1980</v>
      </c>
      <c r="I131" s="453" t="s">
        <v>844</v>
      </c>
      <c r="J131" s="453">
        <v>9450</v>
      </c>
      <c r="K131" s="461">
        <v>4725</v>
      </c>
      <c r="L131" s="461">
        <v>1575</v>
      </c>
      <c r="M131" s="461">
        <v>3150</v>
      </c>
      <c r="N131" s="461">
        <v>0</v>
      </c>
      <c r="O131" s="461">
        <v>0</v>
      </c>
      <c r="P131" s="461">
        <v>0</v>
      </c>
      <c r="Q131" s="461">
        <v>0</v>
      </c>
      <c r="R131" s="461">
        <v>0</v>
      </c>
      <c r="S131" s="461">
        <v>0</v>
      </c>
      <c r="T131" s="461">
        <v>0</v>
      </c>
      <c r="U131" s="461">
        <v>0</v>
      </c>
      <c r="V131" s="461">
        <v>0</v>
      </c>
    </row>
    <row r="132" spans="1:22" s="455" customFormat="1" ht="12.75" hidden="1" customHeight="1">
      <c r="A132" s="455" t="str">
        <f t="shared" ref="A132:A195" si="4">F132&amp;G132</f>
        <v>61209101401200</v>
      </c>
      <c r="B132" s="455">
        <f>VLOOKUP(LEFT($C$3:$C$2600,3),Table!$N$2:$O$88,2,FALSE)</f>
        <v>0</v>
      </c>
      <c r="C132" s="535" t="str">
        <f t="shared" ref="C132:C195" si="5">IF(ISNA(D132),G132,D132)</f>
        <v>9101401200</v>
      </c>
      <c r="D132" s="455" t="e">
        <f>VLOOKUP(G132,Table!$Q$3:$R$21,2,FALSE)</f>
        <v>#N/A</v>
      </c>
      <c r="E132" s="452" t="s">
        <v>902</v>
      </c>
      <c r="F132" s="452" t="s">
        <v>1976</v>
      </c>
      <c r="G132" s="452" t="s">
        <v>1289</v>
      </c>
      <c r="H132" s="452" t="s">
        <v>1981</v>
      </c>
      <c r="I132" s="453" t="s">
        <v>844</v>
      </c>
      <c r="J132" s="453">
        <v>129618.9</v>
      </c>
      <c r="K132" s="461">
        <v>29965.3</v>
      </c>
      <c r="L132" s="461">
        <v>63872.1</v>
      </c>
      <c r="M132" s="461">
        <v>35781.5</v>
      </c>
      <c r="N132" s="461">
        <v>0</v>
      </c>
      <c r="O132" s="461">
        <v>0</v>
      </c>
      <c r="P132" s="461">
        <v>0</v>
      </c>
      <c r="Q132" s="461">
        <v>0</v>
      </c>
      <c r="R132" s="461">
        <v>0</v>
      </c>
      <c r="S132" s="461">
        <v>0</v>
      </c>
      <c r="T132" s="461">
        <v>0</v>
      </c>
      <c r="U132" s="461">
        <v>0</v>
      </c>
      <c r="V132" s="461">
        <v>0</v>
      </c>
    </row>
    <row r="133" spans="1:22" s="455" customFormat="1" ht="12.75" hidden="1" customHeight="1">
      <c r="A133" s="455" t="str">
        <f t="shared" si="4"/>
        <v>61209101401300</v>
      </c>
      <c r="B133" s="455">
        <f>VLOOKUP(LEFT($C$3:$C$2600,3),Table!$N$2:$O$88,2,FALSE)</f>
        <v>0</v>
      </c>
      <c r="C133" s="535" t="str">
        <f t="shared" si="5"/>
        <v>9101401300</v>
      </c>
      <c r="D133" s="455" t="e">
        <f>VLOOKUP(G133,Table!$Q$3:$R$21,2,FALSE)</f>
        <v>#N/A</v>
      </c>
      <c r="E133" s="452" t="s">
        <v>902</v>
      </c>
      <c r="F133" s="452" t="s">
        <v>1976</v>
      </c>
      <c r="G133" s="452" t="s">
        <v>1291</v>
      </c>
      <c r="H133" s="452" t="s">
        <v>2235</v>
      </c>
      <c r="I133" s="453" t="s">
        <v>844</v>
      </c>
      <c r="J133" s="453">
        <v>217496.6</v>
      </c>
      <c r="K133" s="461">
        <v>57865</v>
      </c>
      <c r="L133" s="461">
        <v>86675.6</v>
      </c>
      <c r="M133" s="461">
        <v>72956</v>
      </c>
      <c r="N133" s="461">
        <v>0</v>
      </c>
      <c r="O133" s="461">
        <v>0</v>
      </c>
      <c r="P133" s="461">
        <v>0</v>
      </c>
      <c r="Q133" s="461">
        <v>0</v>
      </c>
      <c r="R133" s="461">
        <v>0</v>
      </c>
      <c r="S133" s="461">
        <v>0</v>
      </c>
      <c r="T133" s="461">
        <v>0</v>
      </c>
      <c r="U133" s="461">
        <v>0</v>
      </c>
      <c r="V133" s="461">
        <v>0</v>
      </c>
    </row>
    <row r="134" spans="1:22" s="455" customFormat="1" ht="12.75" hidden="1" customHeight="1">
      <c r="A134" s="455" t="str">
        <f t="shared" si="4"/>
        <v>61209101401500</v>
      </c>
      <c r="B134" s="455">
        <f>VLOOKUP(LEFT($C$3:$C$2600,3),Table!$N$2:$O$88,2,FALSE)</f>
        <v>0</v>
      </c>
      <c r="C134" s="535" t="str">
        <f t="shared" si="5"/>
        <v>9101401500</v>
      </c>
      <c r="D134" s="455" t="e">
        <f>VLOOKUP(G134,Table!$Q$3:$R$21,2,FALSE)</f>
        <v>#N/A</v>
      </c>
      <c r="E134" s="452" t="s">
        <v>902</v>
      </c>
      <c r="F134" s="452" t="s">
        <v>1976</v>
      </c>
      <c r="G134" s="452" t="s">
        <v>1295</v>
      </c>
      <c r="H134" s="452" t="s">
        <v>2236</v>
      </c>
      <c r="I134" s="453" t="s">
        <v>844</v>
      </c>
      <c r="J134" s="453">
        <v>18537.2</v>
      </c>
      <c r="K134" s="461">
        <v>4234</v>
      </c>
      <c r="L134" s="461">
        <v>10306</v>
      </c>
      <c r="M134" s="461">
        <v>3997.2</v>
      </c>
      <c r="N134" s="461">
        <v>0</v>
      </c>
      <c r="O134" s="461">
        <v>0</v>
      </c>
      <c r="P134" s="461">
        <v>0</v>
      </c>
      <c r="Q134" s="461">
        <v>0</v>
      </c>
      <c r="R134" s="461">
        <v>0</v>
      </c>
      <c r="S134" s="461">
        <v>0</v>
      </c>
      <c r="T134" s="461">
        <v>0</v>
      </c>
      <c r="U134" s="461">
        <v>0</v>
      </c>
      <c r="V134" s="461">
        <v>0</v>
      </c>
    </row>
    <row r="135" spans="1:22" s="455" customFormat="1" ht="12.75" hidden="1" customHeight="1">
      <c r="A135" s="455" t="str">
        <f t="shared" si="4"/>
        <v>61209101402000</v>
      </c>
      <c r="B135" s="455">
        <f>VLOOKUP(LEFT($C$3:$C$2600,3),Table!$N$2:$O$88,2,FALSE)</f>
        <v>0</v>
      </c>
      <c r="C135" s="535" t="str">
        <f t="shared" si="5"/>
        <v>9101402000</v>
      </c>
      <c r="D135" s="455" t="e">
        <f>VLOOKUP(G135,Table!$Q$3:$R$21,2,FALSE)</f>
        <v>#N/A</v>
      </c>
      <c r="E135" s="452" t="s">
        <v>902</v>
      </c>
      <c r="F135" s="452" t="s">
        <v>1976</v>
      </c>
      <c r="G135" s="452" t="s">
        <v>2237</v>
      </c>
      <c r="H135" s="452" t="s">
        <v>1985</v>
      </c>
      <c r="I135" s="453" t="s">
        <v>844</v>
      </c>
      <c r="J135" s="453">
        <v>11710.75</v>
      </c>
      <c r="K135" s="461">
        <v>2852.3</v>
      </c>
      <c r="L135" s="461">
        <v>5697.3</v>
      </c>
      <c r="M135" s="461">
        <v>3161.15</v>
      </c>
      <c r="N135" s="461">
        <v>0</v>
      </c>
      <c r="O135" s="461">
        <v>0</v>
      </c>
      <c r="P135" s="461">
        <v>0</v>
      </c>
      <c r="Q135" s="461">
        <v>0</v>
      </c>
      <c r="R135" s="461">
        <v>0</v>
      </c>
      <c r="S135" s="461">
        <v>0</v>
      </c>
      <c r="T135" s="461">
        <v>0</v>
      </c>
      <c r="U135" s="461">
        <v>0</v>
      </c>
      <c r="V135" s="461">
        <v>0</v>
      </c>
    </row>
    <row r="136" spans="1:22" s="455" customFormat="1" ht="12.75" hidden="1" customHeight="1">
      <c r="A136" s="455" t="str">
        <f t="shared" si="4"/>
        <v>62109151001000</v>
      </c>
      <c r="B136" s="455">
        <f>VLOOKUP(LEFT($C$3:$C$2600,3),Table!$N$2:$O$88,2,FALSE)</f>
        <v>0</v>
      </c>
      <c r="C136" s="535" t="str">
        <f t="shared" si="5"/>
        <v>9151001000</v>
      </c>
      <c r="D136" s="455" t="e">
        <f>VLOOKUP(G136,Table!$Q$3:$R$21,2,FALSE)</f>
        <v>#N/A</v>
      </c>
      <c r="E136" s="452" t="s">
        <v>902</v>
      </c>
      <c r="F136" s="452" t="s">
        <v>2238</v>
      </c>
      <c r="G136" s="452" t="s">
        <v>1129</v>
      </c>
      <c r="H136" s="452" t="s">
        <v>1637</v>
      </c>
      <c r="I136" s="453" t="s">
        <v>844</v>
      </c>
      <c r="J136" s="453">
        <v>94818</v>
      </c>
      <c r="K136" s="461">
        <v>31606</v>
      </c>
      <c r="L136" s="461">
        <v>31606</v>
      </c>
      <c r="M136" s="461">
        <v>31606</v>
      </c>
      <c r="N136" s="461">
        <v>0</v>
      </c>
      <c r="O136" s="461">
        <v>0</v>
      </c>
      <c r="P136" s="461">
        <v>0</v>
      </c>
      <c r="Q136" s="461">
        <v>0</v>
      </c>
      <c r="R136" s="461">
        <v>0</v>
      </c>
      <c r="S136" s="461">
        <v>0</v>
      </c>
      <c r="T136" s="461">
        <v>0</v>
      </c>
      <c r="U136" s="461">
        <v>0</v>
      </c>
      <c r="V136" s="461">
        <v>0</v>
      </c>
    </row>
    <row r="137" spans="1:22" s="455" customFormat="1" ht="12.75" hidden="1" customHeight="1">
      <c r="A137" s="455" t="str">
        <f t="shared" si="4"/>
        <v>62109151001100</v>
      </c>
      <c r="B137" s="455">
        <f>VLOOKUP(LEFT($C$3:$C$2600,3),Table!$N$2:$O$88,2,FALSE)</f>
        <v>0</v>
      </c>
      <c r="C137" s="535" t="str">
        <f t="shared" si="5"/>
        <v>9151001100</v>
      </c>
      <c r="D137" s="455" t="e">
        <f>VLOOKUP(G137,Table!$Q$3:$R$21,2,FALSE)</f>
        <v>#N/A</v>
      </c>
      <c r="E137" s="452" t="s">
        <v>902</v>
      </c>
      <c r="F137" s="452" t="s">
        <v>2238</v>
      </c>
      <c r="G137" s="452" t="s">
        <v>1130</v>
      </c>
      <c r="H137" s="452" t="s">
        <v>1638</v>
      </c>
      <c r="I137" s="453" t="s">
        <v>844</v>
      </c>
      <c r="J137" s="453">
        <v>1315.75</v>
      </c>
      <c r="K137" s="461">
        <v>350.57</v>
      </c>
      <c r="L137" s="461">
        <v>609.92999999999995</v>
      </c>
      <c r="M137" s="461">
        <v>355.25</v>
      </c>
      <c r="N137" s="461">
        <v>0</v>
      </c>
      <c r="O137" s="461">
        <v>0</v>
      </c>
      <c r="P137" s="461">
        <v>0</v>
      </c>
      <c r="Q137" s="461">
        <v>0</v>
      </c>
      <c r="R137" s="461">
        <v>0</v>
      </c>
      <c r="S137" s="461">
        <v>0</v>
      </c>
      <c r="T137" s="461">
        <v>0</v>
      </c>
      <c r="U137" s="461">
        <v>0</v>
      </c>
      <c r="V137" s="461">
        <v>0</v>
      </c>
    </row>
    <row r="138" spans="1:22" s="455" customFormat="1" ht="12.75" hidden="1" customHeight="1">
      <c r="A138" s="455" t="str">
        <f t="shared" si="4"/>
        <v>62109151001200</v>
      </c>
      <c r="B138" s="455">
        <f>VLOOKUP(LEFT($C$3:$C$2600,3),Table!$N$2:$O$88,2,FALSE)</f>
        <v>0</v>
      </c>
      <c r="C138" s="535" t="str">
        <f t="shared" si="5"/>
        <v>9151001200</v>
      </c>
      <c r="D138" s="455" t="e">
        <f>VLOOKUP(G138,Table!$Q$3:$R$21,2,FALSE)</f>
        <v>#N/A</v>
      </c>
      <c r="E138" s="452" t="s">
        <v>902</v>
      </c>
      <c r="F138" s="452" t="s">
        <v>2238</v>
      </c>
      <c r="G138" s="452" t="s">
        <v>1132</v>
      </c>
      <c r="H138" s="452" t="s">
        <v>2239</v>
      </c>
      <c r="I138" s="453" t="s">
        <v>844</v>
      </c>
      <c r="J138" s="453">
        <v>173</v>
      </c>
      <c r="K138" s="461">
        <v>56</v>
      </c>
      <c r="L138" s="461">
        <v>55</v>
      </c>
      <c r="M138" s="461">
        <v>62</v>
      </c>
      <c r="N138" s="461">
        <v>0</v>
      </c>
      <c r="O138" s="461">
        <v>0</v>
      </c>
      <c r="P138" s="461">
        <v>0</v>
      </c>
      <c r="Q138" s="461">
        <v>0</v>
      </c>
      <c r="R138" s="461">
        <v>0</v>
      </c>
      <c r="S138" s="461">
        <v>0</v>
      </c>
      <c r="T138" s="461">
        <v>0</v>
      </c>
      <c r="U138" s="461">
        <v>0</v>
      </c>
      <c r="V138" s="461">
        <v>0</v>
      </c>
    </row>
    <row r="139" spans="1:22" s="455" customFormat="1" ht="12.75" hidden="1" customHeight="1">
      <c r="A139" s="455" t="str">
        <f t="shared" si="4"/>
        <v>62109151001300</v>
      </c>
      <c r="B139" s="455">
        <f>VLOOKUP(LEFT($C$3:$C$2600,3),Table!$N$2:$O$88,2,FALSE)</f>
        <v>0</v>
      </c>
      <c r="C139" s="535" t="str">
        <f t="shared" si="5"/>
        <v>9151001300</v>
      </c>
      <c r="D139" s="455" t="e">
        <f>VLOOKUP(G139,Table!$Q$3:$R$21,2,FALSE)</f>
        <v>#N/A</v>
      </c>
      <c r="E139" s="452" t="s">
        <v>902</v>
      </c>
      <c r="F139" s="452" t="s">
        <v>2238</v>
      </c>
      <c r="G139" s="452" t="s">
        <v>2240</v>
      </c>
      <c r="H139" s="452" t="s">
        <v>2241</v>
      </c>
      <c r="I139" s="453" t="s">
        <v>844</v>
      </c>
      <c r="J139" s="453">
        <v>983.5</v>
      </c>
      <c r="K139" s="461">
        <v>298</v>
      </c>
      <c r="L139" s="461">
        <v>337.5</v>
      </c>
      <c r="M139" s="461">
        <v>348</v>
      </c>
      <c r="N139" s="461">
        <v>0</v>
      </c>
      <c r="O139" s="461">
        <v>0</v>
      </c>
      <c r="P139" s="461">
        <v>0</v>
      </c>
      <c r="Q139" s="461">
        <v>0</v>
      </c>
      <c r="R139" s="461">
        <v>0</v>
      </c>
      <c r="S139" s="461">
        <v>0</v>
      </c>
      <c r="T139" s="461">
        <v>0</v>
      </c>
      <c r="U139" s="461">
        <v>0</v>
      </c>
      <c r="V139" s="461">
        <v>0</v>
      </c>
    </row>
    <row r="140" spans="1:22" s="455" customFormat="1" ht="12.75" hidden="1" customHeight="1">
      <c r="A140" s="455" t="str">
        <f t="shared" si="4"/>
        <v>62109151001400</v>
      </c>
      <c r="B140" s="455">
        <f>VLOOKUP(LEFT($C$3:$C$2600,3),Table!$N$2:$O$88,2,FALSE)</f>
        <v>0</v>
      </c>
      <c r="C140" s="535" t="str">
        <f t="shared" si="5"/>
        <v>9151001400</v>
      </c>
      <c r="D140" s="455" t="e">
        <f>VLOOKUP(G140,Table!$Q$3:$R$21,2,FALSE)</f>
        <v>#N/A</v>
      </c>
      <c r="E140" s="452" t="s">
        <v>902</v>
      </c>
      <c r="F140" s="452" t="s">
        <v>2238</v>
      </c>
      <c r="G140" s="452" t="s">
        <v>1133</v>
      </c>
      <c r="H140" s="452" t="s">
        <v>1640</v>
      </c>
      <c r="I140" s="453" t="s">
        <v>844</v>
      </c>
      <c r="J140" s="453">
        <v>7325</v>
      </c>
      <c r="K140" s="461">
        <v>2442</v>
      </c>
      <c r="L140" s="461">
        <v>2442</v>
      </c>
      <c r="M140" s="461">
        <v>2441</v>
      </c>
      <c r="N140" s="461">
        <v>0</v>
      </c>
      <c r="O140" s="461">
        <v>0</v>
      </c>
      <c r="P140" s="461">
        <v>0</v>
      </c>
      <c r="Q140" s="461">
        <v>0</v>
      </c>
      <c r="R140" s="461">
        <v>0</v>
      </c>
      <c r="S140" s="461">
        <v>0</v>
      </c>
      <c r="T140" s="461">
        <v>0</v>
      </c>
      <c r="U140" s="461">
        <v>0</v>
      </c>
      <c r="V140" s="461">
        <v>0</v>
      </c>
    </row>
    <row r="141" spans="1:22" s="455" customFormat="1" ht="12.75" hidden="1" customHeight="1">
      <c r="A141" s="455" t="str">
        <f t="shared" si="4"/>
        <v>62109151001500</v>
      </c>
      <c r="B141" s="455">
        <f>VLOOKUP(LEFT($C$3:$C$2600,3),Table!$N$2:$O$88,2,FALSE)</f>
        <v>0</v>
      </c>
      <c r="C141" s="535" t="str">
        <f t="shared" si="5"/>
        <v>9151001500</v>
      </c>
      <c r="D141" s="455" t="e">
        <f>VLOOKUP(G141,Table!$Q$3:$R$21,2,FALSE)</f>
        <v>#N/A</v>
      </c>
      <c r="E141" s="452" t="s">
        <v>902</v>
      </c>
      <c r="F141" s="452" t="s">
        <v>2238</v>
      </c>
      <c r="G141" s="452" t="s">
        <v>1135</v>
      </c>
      <c r="H141" s="452" t="s">
        <v>2242</v>
      </c>
      <c r="I141" s="453" t="s">
        <v>844</v>
      </c>
      <c r="J141" s="453">
        <v>342.15</v>
      </c>
      <c r="K141" s="461">
        <v>111.15</v>
      </c>
      <c r="L141" s="461">
        <v>116.35</v>
      </c>
      <c r="M141" s="461">
        <v>114.65</v>
      </c>
      <c r="N141" s="461">
        <v>0</v>
      </c>
      <c r="O141" s="461">
        <v>0</v>
      </c>
      <c r="P141" s="461">
        <v>0</v>
      </c>
      <c r="Q141" s="461">
        <v>0</v>
      </c>
      <c r="R141" s="461">
        <v>0</v>
      </c>
      <c r="S141" s="461">
        <v>0</v>
      </c>
      <c r="T141" s="461">
        <v>0</v>
      </c>
      <c r="U141" s="461">
        <v>0</v>
      </c>
      <c r="V141" s="461">
        <v>0</v>
      </c>
    </row>
    <row r="142" spans="1:22" s="455" customFormat="1" ht="12.75" hidden="1" customHeight="1">
      <c r="A142" s="455" t="str">
        <f t="shared" si="4"/>
        <v>62109151001600</v>
      </c>
      <c r="B142" s="455">
        <f>VLOOKUP(LEFT($C$3:$C$2600,3),Table!$N$2:$O$88,2,FALSE)</f>
        <v>0</v>
      </c>
      <c r="C142" s="535" t="str">
        <f t="shared" si="5"/>
        <v>9151001600</v>
      </c>
      <c r="D142" s="455" t="e">
        <f>VLOOKUP(G142,Table!$Q$3:$R$21,2,FALSE)</f>
        <v>#N/A</v>
      </c>
      <c r="E142" s="452" t="s">
        <v>902</v>
      </c>
      <c r="F142" s="452" t="s">
        <v>2238</v>
      </c>
      <c r="G142" s="452" t="s">
        <v>1137</v>
      </c>
      <c r="H142" s="452" t="s">
        <v>1573</v>
      </c>
      <c r="I142" s="453" t="s">
        <v>844</v>
      </c>
      <c r="J142" s="453">
        <v>26907</v>
      </c>
      <c r="K142" s="461">
        <v>8969</v>
      </c>
      <c r="L142" s="461">
        <v>8969</v>
      </c>
      <c r="M142" s="461">
        <v>8969</v>
      </c>
      <c r="N142" s="461">
        <v>0</v>
      </c>
      <c r="O142" s="461">
        <v>0</v>
      </c>
      <c r="P142" s="461">
        <v>0</v>
      </c>
      <c r="Q142" s="461">
        <v>0</v>
      </c>
      <c r="R142" s="461">
        <v>0</v>
      </c>
      <c r="S142" s="461">
        <v>0</v>
      </c>
      <c r="T142" s="461">
        <v>0</v>
      </c>
      <c r="U142" s="461">
        <v>0</v>
      </c>
      <c r="V142" s="461">
        <v>0</v>
      </c>
    </row>
    <row r="143" spans="1:22" s="455" customFormat="1" ht="12.75" hidden="1" customHeight="1">
      <c r="A143" s="455" t="str">
        <f t="shared" si="4"/>
        <v>62109151001900</v>
      </c>
      <c r="B143" s="455">
        <f>VLOOKUP(LEFT($C$3:$C$2600,3),Table!$N$2:$O$88,2,FALSE)</f>
        <v>0</v>
      </c>
      <c r="C143" s="535" t="str">
        <f t="shared" si="5"/>
        <v>9151001900</v>
      </c>
      <c r="D143" s="455" t="e">
        <f>VLOOKUP(G143,Table!$Q$3:$R$21,2,FALSE)</f>
        <v>#N/A</v>
      </c>
      <c r="E143" s="452" t="s">
        <v>902</v>
      </c>
      <c r="F143" s="452" t="s">
        <v>2238</v>
      </c>
      <c r="G143" s="452" t="s">
        <v>1140</v>
      </c>
      <c r="H143" s="452" t="s">
        <v>2243</v>
      </c>
      <c r="I143" s="453" t="s">
        <v>844</v>
      </c>
      <c r="J143" s="453">
        <v>500.13</v>
      </c>
      <c r="K143" s="461">
        <v>166.71</v>
      </c>
      <c r="L143" s="461">
        <v>166.71</v>
      </c>
      <c r="M143" s="461">
        <v>166.71</v>
      </c>
      <c r="N143" s="461">
        <v>0</v>
      </c>
      <c r="O143" s="461">
        <v>0</v>
      </c>
      <c r="P143" s="461">
        <v>0</v>
      </c>
      <c r="Q143" s="461">
        <v>0</v>
      </c>
      <c r="R143" s="461">
        <v>0</v>
      </c>
      <c r="S143" s="461">
        <v>0</v>
      </c>
      <c r="T143" s="461">
        <v>0</v>
      </c>
      <c r="U143" s="461">
        <v>0</v>
      </c>
      <c r="V143" s="461">
        <v>0</v>
      </c>
    </row>
    <row r="144" spans="1:22" s="455" customFormat="1" ht="12.75" hidden="1" customHeight="1">
      <c r="A144" s="455" t="str">
        <f t="shared" si="4"/>
        <v>62109153201000</v>
      </c>
      <c r="B144" s="455">
        <f>VLOOKUP(LEFT($C$3:$C$2600,3),Table!$N$2:$O$88,2,FALSE)</f>
        <v>0</v>
      </c>
      <c r="C144" s="535" t="str">
        <f t="shared" si="5"/>
        <v>9153201000</v>
      </c>
      <c r="D144" s="455" t="e">
        <f>VLOOKUP(G144,Table!$Q$3:$R$21,2,FALSE)</f>
        <v>#N/A</v>
      </c>
      <c r="E144" s="452" t="s">
        <v>902</v>
      </c>
      <c r="F144" s="452" t="s">
        <v>2238</v>
      </c>
      <c r="G144" s="452" t="s">
        <v>1452</v>
      </c>
      <c r="H144" s="452" t="s">
        <v>2244</v>
      </c>
      <c r="I144" s="453" t="s">
        <v>844</v>
      </c>
      <c r="J144" s="453">
        <v>115990.78</v>
      </c>
      <c r="K144" s="461">
        <v>38385.17</v>
      </c>
      <c r="L144" s="461">
        <v>39457.160000000003</v>
      </c>
      <c r="M144" s="461">
        <v>38353.199999999997</v>
      </c>
      <c r="N144" s="461">
        <v>0</v>
      </c>
      <c r="O144" s="461">
        <v>0</v>
      </c>
      <c r="P144" s="461">
        <v>0</v>
      </c>
      <c r="Q144" s="461">
        <v>0</v>
      </c>
      <c r="R144" s="461">
        <v>0</v>
      </c>
      <c r="S144" s="461">
        <v>0</v>
      </c>
      <c r="T144" s="461">
        <v>0</v>
      </c>
      <c r="U144" s="461">
        <v>0</v>
      </c>
      <c r="V144" s="461">
        <v>0</v>
      </c>
    </row>
    <row r="145" spans="1:22" s="455" customFormat="1" ht="12.75" hidden="1" customHeight="1">
      <c r="A145" s="455" t="str">
        <f t="shared" si="4"/>
        <v>63109151001000</v>
      </c>
      <c r="B145" s="455">
        <f>VLOOKUP(LEFT($C$3:$C$2600,3),Table!$N$2:$O$88,2,FALSE)</f>
        <v>0</v>
      </c>
      <c r="C145" s="535" t="str">
        <f t="shared" si="5"/>
        <v>9151001000</v>
      </c>
      <c r="D145" s="455" t="e">
        <f>VLOOKUP(G145,Table!$Q$3:$R$21,2,FALSE)</f>
        <v>#N/A</v>
      </c>
      <c r="E145" s="452" t="s">
        <v>902</v>
      </c>
      <c r="F145" s="452" t="s">
        <v>1986</v>
      </c>
      <c r="G145" s="452" t="s">
        <v>1129</v>
      </c>
      <c r="H145" s="452" t="s">
        <v>1637</v>
      </c>
      <c r="I145" s="453" t="s">
        <v>844</v>
      </c>
      <c r="J145" s="453">
        <v>122890</v>
      </c>
      <c r="K145" s="461">
        <v>40660</v>
      </c>
      <c r="L145" s="461">
        <v>41115</v>
      </c>
      <c r="M145" s="461">
        <v>41115</v>
      </c>
      <c r="N145" s="461">
        <v>0</v>
      </c>
      <c r="O145" s="461">
        <v>0</v>
      </c>
      <c r="P145" s="461">
        <v>0</v>
      </c>
      <c r="Q145" s="461">
        <v>0</v>
      </c>
      <c r="R145" s="461">
        <v>0</v>
      </c>
      <c r="S145" s="461">
        <v>0</v>
      </c>
      <c r="T145" s="461">
        <v>0</v>
      </c>
      <c r="U145" s="461">
        <v>0</v>
      </c>
      <c r="V145" s="461">
        <v>0</v>
      </c>
    </row>
    <row r="146" spans="1:22" s="455" customFormat="1" ht="12.75" hidden="1" customHeight="1">
      <c r="A146" s="455" t="str">
        <f t="shared" si="4"/>
        <v>63109151001100</v>
      </c>
      <c r="B146" s="455">
        <f>VLOOKUP(LEFT($C$3:$C$2600,3),Table!$N$2:$O$88,2,FALSE)</f>
        <v>0</v>
      </c>
      <c r="C146" s="535" t="str">
        <f t="shared" si="5"/>
        <v>9151001100</v>
      </c>
      <c r="D146" s="455" t="e">
        <f>VLOOKUP(G146,Table!$Q$3:$R$21,2,FALSE)</f>
        <v>#N/A</v>
      </c>
      <c r="E146" s="452" t="s">
        <v>902</v>
      </c>
      <c r="F146" s="452" t="s">
        <v>1986</v>
      </c>
      <c r="G146" s="452" t="s">
        <v>1130</v>
      </c>
      <c r="H146" s="452" t="s">
        <v>1638</v>
      </c>
      <c r="I146" s="453" t="s">
        <v>844</v>
      </c>
      <c r="J146" s="453">
        <v>443.16</v>
      </c>
      <c r="K146" s="461">
        <v>443.16</v>
      </c>
      <c r="L146" s="461">
        <v>0</v>
      </c>
      <c r="M146" s="461">
        <v>0</v>
      </c>
      <c r="N146" s="461">
        <v>0</v>
      </c>
      <c r="O146" s="461">
        <v>0</v>
      </c>
      <c r="P146" s="461">
        <v>0</v>
      </c>
      <c r="Q146" s="461">
        <v>0</v>
      </c>
      <c r="R146" s="461">
        <v>0</v>
      </c>
      <c r="S146" s="461">
        <v>0</v>
      </c>
      <c r="T146" s="461">
        <v>0</v>
      </c>
      <c r="U146" s="461">
        <v>0</v>
      </c>
      <c r="V146" s="461">
        <v>0</v>
      </c>
    </row>
    <row r="147" spans="1:22" s="455" customFormat="1" ht="12.75" hidden="1" customHeight="1">
      <c r="A147" s="455" t="str">
        <f t="shared" si="4"/>
        <v>63109151001200</v>
      </c>
      <c r="B147" s="455">
        <f>VLOOKUP(LEFT($C$3:$C$2600,3),Table!$N$2:$O$88,2,FALSE)</f>
        <v>0</v>
      </c>
      <c r="C147" s="535" t="str">
        <f t="shared" si="5"/>
        <v>9151001200</v>
      </c>
      <c r="D147" s="455" t="e">
        <f>VLOOKUP(G147,Table!$Q$3:$R$21,2,FALSE)</f>
        <v>#N/A</v>
      </c>
      <c r="E147" s="452" t="s">
        <v>902</v>
      </c>
      <c r="F147" s="452" t="s">
        <v>1986</v>
      </c>
      <c r="G147" s="452" t="s">
        <v>1132</v>
      </c>
      <c r="H147" s="452" t="s">
        <v>2245</v>
      </c>
      <c r="I147" s="453" t="s">
        <v>844</v>
      </c>
      <c r="J147" s="453">
        <v>8</v>
      </c>
      <c r="K147" s="461">
        <v>8</v>
      </c>
      <c r="L147" s="461">
        <v>0</v>
      </c>
      <c r="M147" s="461">
        <v>0</v>
      </c>
      <c r="N147" s="461">
        <v>0</v>
      </c>
      <c r="O147" s="461">
        <v>0</v>
      </c>
      <c r="P147" s="461">
        <v>0</v>
      </c>
      <c r="Q147" s="461">
        <v>0</v>
      </c>
      <c r="R147" s="461">
        <v>0</v>
      </c>
      <c r="S147" s="461">
        <v>0</v>
      </c>
      <c r="T147" s="461">
        <v>0</v>
      </c>
      <c r="U147" s="461">
        <v>0</v>
      </c>
      <c r="V147" s="461">
        <v>0</v>
      </c>
    </row>
    <row r="148" spans="1:22" s="455" customFormat="1" ht="12.75" hidden="1" customHeight="1">
      <c r="A148" s="455" t="str">
        <f t="shared" si="4"/>
        <v>63109151001300</v>
      </c>
      <c r="B148" s="455">
        <f>VLOOKUP(LEFT($C$3:$C$2600,3),Table!$N$2:$O$88,2,FALSE)</f>
        <v>0</v>
      </c>
      <c r="C148" s="535" t="str">
        <f t="shared" si="5"/>
        <v>9151001300</v>
      </c>
      <c r="D148" s="455" t="e">
        <f>VLOOKUP(G148,Table!$Q$3:$R$21,2,FALSE)</f>
        <v>#N/A</v>
      </c>
      <c r="E148" s="452" t="s">
        <v>902</v>
      </c>
      <c r="F148" s="452" t="s">
        <v>1986</v>
      </c>
      <c r="G148" s="452" t="s">
        <v>2240</v>
      </c>
      <c r="H148" s="452" t="s">
        <v>2241</v>
      </c>
      <c r="I148" s="453" t="s">
        <v>844</v>
      </c>
      <c r="J148" s="453">
        <v>1695</v>
      </c>
      <c r="K148" s="461">
        <v>665</v>
      </c>
      <c r="L148" s="461">
        <v>440</v>
      </c>
      <c r="M148" s="461">
        <v>590</v>
      </c>
      <c r="N148" s="461">
        <v>0</v>
      </c>
      <c r="O148" s="461">
        <v>0</v>
      </c>
      <c r="P148" s="461">
        <v>0</v>
      </c>
      <c r="Q148" s="461">
        <v>0</v>
      </c>
      <c r="R148" s="461">
        <v>0</v>
      </c>
      <c r="S148" s="461">
        <v>0</v>
      </c>
      <c r="T148" s="461">
        <v>0</v>
      </c>
      <c r="U148" s="461">
        <v>0</v>
      </c>
      <c r="V148" s="461">
        <v>0</v>
      </c>
    </row>
    <row r="149" spans="1:22" s="455" customFormat="1" ht="12.75" hidden="1" customHeight="1">
      <c r="A149" s="455" t="str">
        <f t="shared" si="4"/>
        <v>63109151001400</v>
      </c>
      <c r="B149" s="455">
        <f>VLOOKUP(LEFT($C$3:$C$2600,3),Table!$N$2:$O$88,2,FALSE)</f>
        <v>0</v>
      </c>
      <c r="C149" s="535" t="str">
        <f t="shared" si="5"/>
        <v>9151001400</v>
      </c>
      <c r="D149" s="455" t="e">
        <f>VLOOKUP(G149,Table!$Q$3:$R$21,2,FALSE)</f>
        <v>#N/A</v>
      </c>
      <c r="E149" s="452" t="s">
        <v>902</v>
      </c>
      <c r="F149" s="452" t="s">
        <v>1986</v>
      </c>
      <c r="G149" s="452" t="s">
        <v>1133</v>
      </c>
      <c r="H149" s="452" t="s">
        <v>1640</v>
      </c>
      <c r="I149" s="453" t="s">
        <v>844</v>
      </c>
      <c r="J149" s="453">
        <v>17295</v>
      </c>
      <c r="K149" s="461">
        <v>5720</v>
      </c>
      <c r="L149" s="461">
        <v>5788</v>
      </c>
      <c r="M149" s="461">
        <v>5787</v>
      </c>
      <c r="N149" s="461">
        <v>0</v>
      </c>
      <c r="O149" s="461">
        <v>0</v>
      </c>
      <c r="P149" s="461">
        <v>0</v>
      </c>
      <c r="Q149" s="461">
        <v>0</v>
      </c>
      <c r="R149" s="461">
        <v>0</v>
      </c>
      <c r="S149" s="461">
        <v>0</v>
      </c>
      <c r="T149" s="461">
        <v>0</v>
      </c>
      <c r="U149" s="461">
        <v>0</v>
      </c>
      <c r="V149" s="461">
        <v>0</v>
      </c>
    </row>
    <row r="150" spans="1:22" s="455" customFormat="1" ht="12.75" hidden="1" customHeight="1">
      <c r="A150" s="455" t="str">
        <f t="shared" si="4"/>
        <v>63109151001500</v>
      </c>
      <c r="B150" s="455">
        <f>VLOOKUP(LEFT($C$3:$C$2600,3),Table!$N$2:$O$88,2,FALSE)</f>
        <v>0</v>
      </c>
      <c r="C150" s="535" t="str">
        <f t="shared" si="5"/>
        <v>9151001500</v>
      </c>
      <c r="D150" s="455" t="e">
        <f>VLOOKUP(G150,Table!$Q$3:$R$21,2,FALSE)</f>
        <v>#N/A</v>
      </c>
      <c r="E150" s="452" t="s">
        <v>902</v>
      </c>
      <c r="F150" s="452" t="s">
        <v>1986</v>
      </c>
      <c r="G150" s="452" t="s">
        <v>1135</v>
      </c>
      <c r="H150" s="452" t="s">
        <v>2242</v>
      </c>
      <c r="I150" s="453" t="s">
        <v>844</v>
      </c>
      <c r="J150" s="453">
        <v>1329.3</v>
      </c>
      <c r="K150" s="461">
        <v>443.1</v>
      </c>
      <c r="L150" s="461">
        <v>443.1</v>
      </c>
      <c r="M150" s="461">
        <v>443.1</v>
      </c>
      <c r="N150" s="461">
        <v>0</v>
      </c>
      <c r="O150" s="461">
        <v>0</v>
      </c>
      <c r="P150" s="461">
        <v>0</v>
      </c>
      <c r="Q150" s="461">
        <v>0</v>
      </c>
      <c r="R150" s="461">
        <v>0</v>
      </c>
      <c r="S150" s="461">
        <v>0</v>
      </c>
      <c r="T150" s="461">
        <v>0</v>
      </c>
      <c r="U150" s="461">
        <v>0</v>
      </c>
      <c r="V150" s="461">
        <v>0</v>
      </c>
    </row>
    <row r="151" spans="1:22" s="455" customFormat="1" ht="12.75" hidden="1" customHeight="1">
      <c r="A151" s="455" t="str">
        <f t="shared" si="4"/>
        <v>63109151001600</v>
      </c>
      <c r="B151" s="455">
        <f>VLOOKUP(LEFT($C$3:$C$2600,3),Table!$N$2:$O$88,2,FALSE)</f>
        <v>0</v>
      </c>
      <c r="C151" s="535" t="str">
        <f t="shared" si="5"/>
        <v>9151001600</v>
      </c>
      <c r="D151" s="455" t="e">
        <f>VLOOKUP(G151,Table!$Q$3:$R$21,2,FALSE)</f>
        <v>#N/A</v>
      </c>
      <c r="E151" s="452" t="s">
        <v>902</v>
      </c>
      <c r="F151" s="452" t="s">
        <v>1986</v>
      </c>
      <c r="G151" s="452" t="s">
        <v>1137</v>
      </c>
      <c r="H151" s="452" t="s">
        <v>1573</v>
      </c>
      <c r="I151" s="453" t="s">
        <v>844</v>
      </c>
      <c r="J151" s="453">
        <v>36737</v>
      </c>
      <c r="K151" s="461">
        <v>12209</v>
      </c>
      <c r="L151" s="461">
        <v>12264</v>
      </c>
      <c r="M151" s="461">
        <v>12264</v>
      </c>
      <c r="N151" s="461">
        <v>0</v>
      </c>
      <c r="O151" s="461">
        <v>0</v>
      </c>
      <c r="P151" s="461">
        <v>0</v>
      </c>
      <c r="Q151" s="461">
        <v>0</v>
      </c>
      <c r="R151" s="461">
        <v>0</v>
      </c>
      <c r="S151" s="461">
        <v>0</v>
      </c>
      <c r="T151" s="461">
        <v>0</v>
      </c>
      <c r="U151" s="461">
        <v>0</v>
      </c>
      <c r="V151" s="461">
        <v>0</v>
      </c>
    </row>
    <row r="152" spans="1:22" s="455" customFormat="1" ht="12.75" hidden="1" customHeight="1">
      <c r="A152" s="455" t="str">
        <f t="shared" si="4"/>
        <v>63109151001900</v>
      </c>
      <c r="B152" s="455">
        <f>VLOOKUP(LEFT($C$3:$C$2600,3),Table!$N$2:$O$88,2,FALSE)</f>
        <v>0</v>
      </c>
      <c r="C152" s="535" t="str">
        <f t="shared" si="5"/>
        <v>9151001900</v>
      </c>
      <c r="D152" s="455" t="e">
        <f>VLOOKUP(G152,Table!$Q$3:$R$21,2,FALSE)</f>
        <v>#N/A</v>
      </c>
      <c r="E152" s="452" t="s">
        <v>902</v>
      </c>
      <c r="F152" s="452" t="s">
        <v>1986</v>
      </c>
      <c r="G152" s="452" t="s">
        <v>1140</v>
      </c>
      <c r="H152" s="452" t="s">
        <v>2243</v>
      </c>
      <c r="I152" s="453" t="s">
        <v>844</v>
      </c>
      <c r="J152" s="453">
        <v>1228.9000000000001</v>
      </c>
      <c r="K152" s="461">
        <v>406.6</v>
      </c>
      <c r="L152" s="461">
        <v>411.15</v>
      </c>
      <c r="M152" s="461">
        <v>411.15</v>
      </c>
      <c r="N152" s="461">
        <v>0</v>
      </c>
      <c r="O152" s="461">
        <v>0</v>
      </c>
      <c r="P152" s="461">
        <v>0</v>
      </c>
      <c r="Q152" s="461">
        <v>0</v>
      </c>
      <c r="R152" s="461">
        <v>0</v>
      </c>
      <c r="S152" s="461">
        <v>0</v>
      </c>
      <c r="T152" s="461">
        <v>0</v>
      </c>
      <c r="U152" s="461">
        <v>0</v>
      </c>
      <c r="V152" s="461">
        <v>0</v>
      </c>
    </row>
    <row r="153" spans="1:22" s="455" customFormat="1" ht="12.75" hidden="1" customHeight="1">
      <c r="A153" s="455" t="str">
        <f t="shared" si="4"/>
        <v>63109151301500</v>
      </c>
      <c r="B153" s="455">
        <f>VLOOKUP(LEFT($C$3:$C$2600,3),Table!$N$2:$O$88,2,FALSE)</f>
        <v>0</v>
      </c>
      <c r="C153" s="535" t="str">
        <f t="shared" si="5"/>
        <v>9151301500</v>
      </c>
      <c r="D153" s="455" t="e">
        <f>VLOOKUP(G153,Table!$Q$3:$R$21,2,FALSE)</f>
        <v>#N/A</v>
      </c>
      <c r="E153" s="452" t="s">
        <v>902</v>
      </c>
      <c r="F153" s="452" t="s">
        <v>1986</v>
      </c>
      <c r="G153" s="452" t="s">
        <v>1152</v>
      </c>
      <c r="H153" s="452" t="s">
        <v>2246</v>
      </c>
      <c r="I153" s="453" t="s">
        <v>844</v>
      </c>
      <c r="J153" s="453">
        <v>2462.3000000000002</v>
      </c>
      <c r="K153" s="461">
        <v>453.4</v>
      </c>
      <c r="L153" s="461">
        <v>909.3</v>
      </c>
      <c r="M153" s="461">
        <v>1099.5999999999999</v>
      </c>
      <c r="N153" s="461">
        <v>0</v>
      </c>
      <c r="O153" s="461">
        <v>0</v>
      </c>
      <c r="P153" s="461">
        <v>0</v>
      </c>
      <c r="Q153" s="461">
        <v>0</v>
      </c>
      <c r="R153" s="461">
        <v>0</v>
      </c>
      <c r="S153" s="461">
        <v>0</v>
      </c>
      <c r="T153" s="461">
        <v>0</v>
      </c>
      <c r="U153" s="461">
        <v>0</v>
      </c>
      <c r="V153" s="461">
        <v>0</v>
      </c>
    </row>
    <row r="154" spans="1:22" s="455" customFormat="1" ht="12.75" hidden="1" customHeight="1">
      <c r="A154" s="455" t="str">
        <f t="shared" si="4"/>
        <v>63109151301600</v>
      </c>
      <c r="B154" s="455">
        <f>VLOOKUP(LEFT($C$3:$C$2600,3),Table!$N$2:$O$88,2,FALSE)</f>
        <v>0</v>
      </c>
      <c r="C154" s="535" t="str">
        <f t="shared" si="5"/>
        <v>9151301600</v>
      </c>
      <c r="D154" s="455" t="e">
        <f>VLOOKUP(G154,Table!$Q$3:$R$21,2,FALSE)</f>
        <v>#N/A</v>
      </c>
      <c r="E154" s="452" t="s">
        <v>902</v>
      </c>
      <c r="F154" s="452" t="s">
        <v>1986</v>
      </c>
      <c r="G154" s="452" t="s">
        <v>1392</v>
      </c>
      <c r="H154" s="452" t="s">
        <v>2247</v>
      </c>
      <c r="I154" s="453" t="s">
        <v>844</v>
      </c>
      <c r="J154" s="453">
        <v>4144.8</v>
      </c>
      <c r="K154" s="461">
        <v>1910</v>
      </c>
      <c r="L154" s="461">
        <v>464</v>
      </c>
      <c r="M154" s="461">
        <v>1770.8</v>
      </c>
      <c r="N154" s="461">
        <v>0</v>
      </c>
      <c r="O154" s="461">
        <v>0</v>
      </c>
      <c r="P154" s="461">
        <v>0</v>
      </c>
      <c r="Q154" s="461">
        <v>0</v>
      </c>
      <c r="R154" s="461">
        <v>0</v>
      </c>
      <c r="S154" s="461">
        <v>0</v>
      </c>
      <c r="T154" s="461">
        <v>0</v>
      </c>
      <c r="U154" s="461">
        <v>0</v>
      </c>
      <c r="V154" s="461">
        <v>0</v>
      </c>
    </row>
    <row r="155" spans="1:22" s="455" customFormat="1" ht="12.75" hidden="1" customHeight="1">
      <c r="A155" s="455" t="str">
        <f t="shared" si="4"/>
        <v>63109151302500</v>
      </c>
      <c r="B155" s="455">
        <f>VLOOKUP(LEFT($C$3:$C$2600,3),Table!$N$2:$O$88,2,FALSE)</f>
        <v>0</v>
      </c>
      <c r="C155" s="535" t="str">
        <f t="shared" si="5"/>
        <v>9151302500</v>
      </c>
      <c r="D155" s="455" t="e">
        <f>VLOOKUP(G155,Table!$Q$3:$R$21,2,FALSE)</f>
        <v>#N/A</v>
      </c>
      <c r="E155" s="452" t="s">
        <v>902</v>
      </c>
      <c r="F155" s="452" t="s">
        <v>1986</v>
      </c>
      <c r="G155" s="452" t="s">
        <v>1154</v>
      </c>
      <c r="H155" s="452" t="s">
        <v>2248</v>
      </c>
      <c r="I155" s="453" t="s">
        <v>844</v>
      </c>
      <c r="J155" s="453">
        <v>42820</v>
      </c>
      <c r="K155" s="461">
        <v>9800</v>
      </c>
      <c r="L155" s="461">
        <v>7680</v>
      </c>
      <c r="M155" s="461">
        <v>27970</v>
      </c>
      <c r="N155" s="461">
        <v>0</v>
      </c>
      <c r="O155" s="461">
        <v>0</v>
      </c>
      <c r="P155" s="461">
        <v>0</v>
      </c>
      <c r="Q155" s="461">
        <v>0</v>
      </c>
      <c r="R155" s="461">
        <v>0</v>
      </c>
      <c r="S155" s="461">
        <v>0</v>
      </c>
      <c r="T155" s="461">
        <v>0</v>
      </c>
      <c r="U155" s="461">
        <v>0</v>
      </c>
      <c r="V155" s="461">
        <v>0</v>
      </c>
    </row>
    <row r="156" spans="1:22" s="455" customFormat="1" ht="12.75" hidden="1" customHeight="1">
      <c r="A156" s="455" t="str">
        <f t="shared" si="4"/>
        <v>63109151302800</v>
      </c>
      <c r="B156" s="455">
        <f>VLOOKUP(LEFT($C$3:$C$2600,3),Table!$N$2:$O$88,2,FALSE)</f>
        <v>0</v>
      </c>
      <c r="C156" s="535" t="str">
        <f t="shared" si="5"/>
        <v>9151302800</v>
      </c>
      <c r="D156" s="455" t="e">
        <f>VLOOKUP(G156,Table!$Q$3:$R$21,2,FALSE)</f>
        <v>#N/A</v>
      </c>
      <c r="E156" s="452" t="s">
        <v>902</v>
      </c>
      <c r="F156" s="452" t="s">
        <v>1986</v>
      </c>
      <c r="G156" s="452" t="s">
        <v>2249</v>
      </c>
      <c r="H156" s="452" t="s">
        <v>2250</v>
      </c>
      <c r="I156" s="453" t="s">
        <v>844</v>
      </c>
      <c r="J156" s="453">
        <v>91985.3</v>
      </c>
      <c r="K156" s="461">
        <v>72487.5</v>
      </c>
      <c r="L156" s="461">
        <v>17266.7</v>
      </c>
      <c r="M156" s="461">
        <v>16882.599999999999</v>
      </c>
      <c r="N156" s="461">
        <v>0</v>
      </c>
      <c r="O156" s="461">
        <v>0</v>
      </c>
      <c r="P156" s="461">
        <v>0</v>
      </c>
      <c r="Q156" s="461">
        <v>0</v>
      </c>
      <c r="R156" s="461">
        <v>0</v>
      </c>
      <c r="S156" s="461">
        <v>0</v>
      </c>
      <c r="T156" s="461">
        <v>0</v>
      </c>
      <c r="U156" s="461">
        <v>0</v>
      </c>
      <c r="V156" s="461">
        <v>0</v>
      </c>
    </row>
    <row r="157" spans="1:22" s="455" customFormat="1" ht="12.75" hidden="1" customHeight="1">
      <c r="A157" s="455" t="str">
        <f t="shared" si="4"/>
        <v>63109151501000</v>
      </c>
      <c r="B157" s="455">
        <f>VLOOKUP(LEFT($C$3:$C$2600,3),Table!$N$2:$O$88,2,FALSE)</f>
        <v>0</v>
      </c>
      <c r="C157" s="535" t="str">
        <f t="shared" si="5"/>
        <v>9151501000</v>
      </c>
      <c r="D157" s="455" t="e">
        <f>VLOOKUP(G157,Table!$Q$3:$R$21,2,FALSE)</f>
        <v>#N/A</v>
      </c>
      <c r="E157" s="452" t="s">
        <v>902</v>
      </c>
      <c r="F157" s="452" t="s">
        <v>1986</v>
      </c>
      <c r="G157" s="452" t="s">
        <v>1314</v>
      </c>
      <c r="H157" s="452" t="s">
        <v>2251</v>
      </c>
      <c r="I157" s="453" t="s">
        <v>844</v>
      </c>
      <c r="J157" s="453">
        <v>260.60000000000002</v>
      </c>
      <c r="K157" s="461">
        <v>66.400000000000006</v>
      </c>
      <c r="L157" s="461">
        <v>195</v>
      </c>
      <c r="M157" s="461">
        <v>319.56</v>
      </c>
      <c r="N157" s="461">
        <v>0</v>
      </c>
      <c r="O157" s="461">
        <v>0</v>
      </c>
      <c r="P157" s="461">
        <v>0</v>
      </c>
      <c r="Q157" s="461">
        <v>0</v>
      </c>
      <c r="R157" s="461">
        <v>0</v>
      </c>
      <c r="S157" s="461">
        <v>0</v>
      </c>
      <c r="T157" s="461">
        <v>0</v>
      </c>
      <c r="U157" s="461">
        <v>0</v>
      </c>
      <c r="V157" s="461">
        <v>0</v>
      </c>
    </row>
    <row r="158" spans="1:22" s="455" customFormat="1" ht="12.75" hidden="1" customHeight="1">
      <c r="A158" s="455" t="str">
        <f t="shared" si="4"/>
        <v>63109151501100</v>
      </c>
      <c r="B158" s="455">
        <f>VLOOKUP(LEFT($C$3:$C$2600,3),Table!$N$2:$O$88,2,FALSE)</f>
        <v>0</v>
      </c>
      <c r="C158" s="535" t="str">
        <f t="shared" si="5"/>
        <v>9151501100</v>
      </c>
      <c r="D158" s="455" t="e">
        <f>VLOOKUP(G158,Table!$Q$3:$R$21,2,FALSE)</f>
        <v>#N/A</v>
      </c>
      <c r="E158" s="452" t="s">
        <v>902</v>
      </c>
      <c r="F158" s="452" t="s">
        <v>1986</v>
      </c>
      <c r="G158" s="452" t="s">
        <v>1009</v>
      </c>
      <c r="H158" s="452" t="s">
        <v>2252</v>
      </c>
      <c r="I158" s="453" t="s">
        <v>844</v>
      </c>
      <c r="J158" s="453">
        <v>-132</v>
      </c>
      <c r="K158" s="461">
        <v>-1481</v>
      </c>
      <c r="L158" s="461">
        <v>3122</v>
      </c>
      <c r="M158" s="461">
        <v>2259</v>
      </c>
      <c r="N158" s="461">
        <v>0</v>
      </c>
      <c r="O158" s="461">
        <v>0</v>
      </c>
      <c r="P158" s="461">
        <v>0</v>
      </c>
      <c r="Q158" s="461">
        <v>0</v>
      </c>
      <c r="R158" s="461">
        <v>0</v>
      </c>
      <c r="S158" s="461">
        <v>0</v>
      </c>
      <c r="T158" s="461">
        <v>0</v>
      </c>
      <c r="U158" s="461">
        <v>0</v>
      </c>
      <c r="V158" s="461">
        <v>0</v>
      </c>
    </row>
    <row r="159" spans="1:22" s="455" customFormat="1" ht="12.75" hidden="1" customHeight="1">
      <c r="A159" s="455" t="str">
        <f t="shared" si="4"/>
        <v>63109151601001</v>
      </c>
      <c r="B159" s="455">
        <f>VLOOKUP(LEFT($C$3:$C$2600,3),Table!$N$2:$O$88,2,FALSE)</f>
        <v>0</v>
      </c>
      <c r="C159" s="535" t="str">
        <f t="shared" si="5"/>
        <v>9151601001</v>
      </c>
      <c r="D159" s="455" t="e">
        <f>VLOOKUP(G159,Table!$Q$3:$R$21,2,FALSE)</f>
        <v>#N/A</v>
      </c>
      <c r="E159" s="452" t="s">
        <v>902</v>
      </c>
      <c r="F159" s="452" t="s">
        <v>1986</v>
      </c>
      <c r="G159" s="452" t="s">
        <v>1015</v>
      </c>
      <c r="H159" s="452" t="s">
        <v>2615</v>
      </c>
      <c r="I159" s="453" t="s">
        <v>844</v>
      </c>
      <c r="J159" s="453">
        <v>222</v>
      </c>
      <c r="K159" s="461">
        <v>102</v>
      </c>
      <c r="L159" s="461">
        <v>10</v>
      </c>
      <c r="M159" s="461">
        <v>110</v>
      </c>
      <c r="N159" s="461">
        <v>0</v>
      </c>
      <c r="O159" s="461">
        <v>0</v>
      </c>
      <c r="P159" s="461">
        <v>0</v>
      </c>
      <c r="Q159" s="461">
        <v>0</v>
      </c>
      <c r="R159" s="461">
        <v>0</v>
      </c>
      <c r="S159" s="461">
        <v>0</v>
      </c>
      <c r="T159" s="461">
        <v>0</v>
      </c>
      <c r="U159" s="461">
        <v>0</v>
      </c>
      <c r="V159" s="461">
        <v>0</v>
      </c>
    </row>
    <row r="160" spans="1:22" s="455" customFormat="1" ht="12.75" hidden="1" customHeight="1">
      <c r="A160" s="455" t="str">
        <f t="shared" si="4"/>
        <v>63109151601101</v>
      </c>
      <c r="B160" s="455">
        <f>VLOOKUP(LEFT($C$3:$C$2600,3),Table!$N$2:$O$88,2,FALSE)</f>
        <v>0</v>
      </c>
      <c r="C160" s="535" t="str">
        <f t="shared" si="5"/>
        <v>9151601101</v>
      </c>
      <c r="D160" s="455" t="e">
        <f>VLOOKUP(G160,Table!$Q$3:$R$21,2,FALSE)</f>
        <v>#N/A</v>
      </c>
      <c r="E160" s="452" t="s">
        <v>902</v>
      </c>
      <c r="F160" s="452" t="s">
        <v>1986</v>
      </c>
      <c r="G160" s="452" t="s">
        <v>2616</v>
      </c>
      <c r="H160" s="452" t="s">
        <v>2617</v>
      </c>
      <c r="I160" s="453" t="s">
        <v>844</v>
      </c>
      <c r="J160" s="453">
        <v>40.799999999999997</v>
      </c>
      <c r="K160" s="461">
        <v>0</v>
      </c>
      <c r="L160" s="461">
        <v>0</v>
      </c>
      <c r="M160" s="461">
        <v>40.799999999999997</v>
      </c>
      <c r="N160" s="461">
        <v>0</v>
      </c>
      <c r="O160" s="461">
        <v>0</v>
      </c>
      <c r="P160" s="461">
        <v>0</v>
      </c>
      <c r="Q160" s="461">
        <v>0</v>
      </c>
      <c r="R160" s="461">
        <v>0</v>
      </c>
      <c r="S160" s="461">
        <v>0</v>
      </c>
      <c r="T160" s="461">
        <v>0</v>
      </c>
      <c r="U160" s="461">
        <v>0</v>
      </c>
      <c r="V160" s="461">
        <v>0</v>
      </c>
    </row>
    <row r="161" spans="1:22" s="455" customFormat="1" ht="12.75" hidden="1" customHeight="1">
      <c r="A161" s="455" t="str">
        <f t="shared" si="4"/>
        <v>63109151801100</v>
      </c>
      <c r="B161" s="455">
        <f>VLOOKUP(LEFT($C$3:$C$2600,3),Table!$N$2:$O$88,2,FALSE)</f>
        <v>0</v>
      </c>
      <c r="C161" s="535" t="str">
        <f t="shared" si="5"/>
        <v>9151801100</v>
      </c>
      <c r="D161" s="455" t="e">
        <f>VLOOKUP(G161,Table!$Q$3:$R$21,2,FALSE)</f>
        <v>#N/A</v>
      </c>
      <c r="E161" s="452" t="s">
        <v>902</v>
      </c>
      <c r="F161" s="452" t="s">
        <v>1986</v>
      </c>
      <c r="G161" s="452" t="s">
        <v>1017</v>
      </c>
      <c r="H161" s="452" t="s">
        <v>2253</v>
      </c>
      <c r="I161" s="453" t="s">
        <v>844</v>
      </c>
      <c r="J161" s="453">
        <v>3044.45</v>
      </c>
      <c r="K161" s="461">
        <v>1627.4</v>
      </c>
      <c r="L161" s="461">
        <v>1363.55</v>
      </c>
      <c r="M161" s="461">
        <v>53.5</v>
      </c>
      <c r="N161" s="461">
        <v>0</v>
      </c>
      <c r="O161" s="461">
        <v>0</v>
      </c>
      <c r="P161" s="461">
        <v>0</v>
      </c>
      <c r="Q161" s="461">
        <v>0</v>
      </c>
      <c r="R161" s="461">
        <v>0</v>
      </c>
      <c r="S161" s="461">
        <v>0</v>
      </c>
      <c r="T161" s="461">
        <v>0</v>
      </c>
      <c r="U161" s="461">
        <v>0</v>
      </c>
      <c r="V161" s="461">
        <v>0</v>
      </c>
    </row>
    <row r="162" spans="1:22" s="455" customFormat="1" ht="12.75" hidden="1" customHeight="1">
      <c r="A162" s="455" t="str">
        <f t="shared" si="4"/>
        <v>63109151801200</v>
      </c>
      <c r="B162" s="455">
        <f>VLOOKUP(LEFT($C$3:$C$2600,3),Table!$N$2:$O$88,2,FALSE)</f>
        <v>0</v>
      </c>
      <c r="C162" s="535" t="str">
        <f t="shared" si="5"/>
        <v>9151801200</v>
      </c>
      <c r="D162" s="455" t="e">
        <f>VLOOKUP(G162,Table!$Q$3:$R$21,2,FALSE)</f>
        <v>#N/A</v>
      </c>
      <c r="E162" s="452" t="s">
        <v>902</v>
      </c>
      <c r="F162" s="452" t="s">
        <v>1986</v>
      </c>
      <c r="G162" s="452" t="s">
        <v>1332</v>
      </c>
      <c r="H162" s="452" t="s">
        <v>2254</v>
      </c>
      <c r="I162" s="453" t="s">
        <v>844</v>
      </c>
      <c r="J162" s="453">
        <v>1170</v>
      </c>
      <c r="K162" s="461">
        <v>390</v>
      </c>
      <c r="L162" s="461">
        <v>390</v>
      </c>
      <c r="M162" s="461">
        <v>390</v>
      </c>
      <c r="N162" s="461">
        <v>0</v>
      </c>
      <c r="O162" s="461">
        <v>0</v>
      </c>
      <c r="P162" s="461">
        <v>0</v>
      </c>
      <c r="Q162" s="461">
        <v>0</v>
      </c>
      <c r="R162" s="461">
        <v>0</v>
      </c>
      <c r="S162" s="461">
        <v>0</v>
      </c>
      <c r="T162" s="461">
        <v>0</v>
      </c>
      <c r="U162" s="461">
        <v>0</v>
      </c>
      <c r="V162" s="461">
        <v>0</v>
      </c>
    </row>
    <row r="163" spans="1:22" s="455" customFormat="1" ht="12.75" hidden="1" customHeight="1">
      <c r="A163" s="455" t="str">
        <f t="shared" si="4"/>
        <v>63109151900000</v>
      </c>
      <c r="B163" s="455">
        <f>VLOOKUP(LEFT($C$3:$C$2600,3),Table!$N$2:$O$88,2,FALSE)</f>
        <v>0</v>
      </c>
      <c r="C163" s="535" t="str">
        <f t="shared" si="5"/>
        <v>9151900000</v>
      </c>
      <c r="D163" s="455" t="e">
        <f>VLOOKUP(G163,Table!$Q$3:$R$21,2,FALSE)</f>
        <v>#N/A</v>
      </c>
      <c r="E163" s="452" t="s">
        <v>902</v>
      </c>
      <c r="F163" s="452" t="s">
        <v>1986</v>
      </c>
      <c r="G163" s="452" t="s">
        <v>2255</v>
      </c>
      <c r="H163" s="452" t="s">
        <v>2256</v>
      </c>
      <c r="I163" s="453" t="s">
        <v>844</v>
      </c>
      <c r="J163" s="453">
        <v>22349.5</v>
      </c>
      <c r="K163" s="461">
        <v>4156</v>
      </c>
      <c r="L163" s="461">
        <v>9803.5</v>
      </c>
      <c r="M163" s="461">
        <v>11940</v>
      </c>
      <c r="N163" s="461">
        <v>0</v>
      </c>
      <c r="O163" s="461">
        <v>0</v>
      </c>
      <c r="P163" s="461">
        <v>0</v>
      </c>
      <c r="Q163" s="461">
        <v>0</v>
      </c>
      <c r="R163" s="461">
        <v>0</v>
      </c>
      <c r="S163" s="461">
        <v>0</v>
      </c>
      <c r="T163" s="461">
        <v>0</v>
      </c>
      <c r="U163" s="461">
        <v>0</v>
      </c>
      <c r="V163" s="461">
        <v>0</v>
      </c>
    </row>
    <row r="164" spans="1:22" s="455" customFormat="1" ht="12.75" hidden="1" customHeight="1">
      <c r="A164" s="455" t="str">
        <f t="shared" si="4"/>
        <v>63109151901000</v>
      </c>
      <c r="B164" s="455">
        <f>VLOOKUP(LEFT($C$3:$C$2600,3),Table!$N$2:$O$88,2,FALSE)</f>
        <v>0</v>
      </c>
      <c r="C164" s="535" t="str">
        <f t="shared" si="5"/>
        <v>9151901000</v>
      </c>
      <c r="D164" s="455" t="e">
        <f>VLOOKUP(G164,Table!$Q$3:$R$21,2,FALSE)</f>
        <v>#N/A</v>
      </c>
      <c r="E164" s="452" t="s">
        <v>902</v>
      </c>
      <c r="F164" s="452" t="s">
        <v>1986</v>
      </c>
      <c r="G164" s="452" t="s">
        <v>2257</v>
      </c>
      <c r="H164" s="452" t="s">
        <v>2258</v>
      </c>
      <c r="I164" s="453" t="s">
        <v>844</v>
      </c>
      <c r="J164" s="453">
        <v>52311.5</v>
      </c>
      <c r="K164" s="461">
        <v>3930</v>
      </c>
      <c r="L164" s="461">
        <v>34115.699999999997</v>
      </c>
      <c r="M164" s="461">
        <v>16435.8</v>
      </c>
      <c r="N164" s="461">
        <v>0</v>
      </c>
      <c r="O164" s="461">
        <v>0</v>
      </c>
      <c r="P164" s="461">
        <v>0</v>
      </c>
      <c r="Q164" s="461">
        <v>0</v>
      </c>
      <c r="R164" s="461">
        <v>0</v>
      </c>
      <c r="S164" s="461">
        <v>0</v>
      </c>
      <c r="T164" s="461">
        <v>0</v>
      </c>
      <c r="U164" s="461">
        <v>0</v>
      </c>
      <c r="V164" s="461">
        <v>0</v>
      </c>
    </row>
    <row r="165" spans="1:22" s="455" customFormat="1" ht="12.75" hidden="1" customHeight="1">
      <c r="A165" s="455" t="str">
        <f t="shared" si="4"/>
        <v>63109151901100</v>
      </c>
      <c r="B165" s="455">
        <f>VLOOKUP(LEFT($C$3:$C$2600,3),Table!$N$2:$O$88,2,FALSE)</f>
        <v>0</v>
      </c>
      <c r="C165" s="535" t="str">
        <f t="shared" si="5"/>
        <v>9151901100</v>
      </c>
      <c r="D165" s="455" t="e">
        <f>VLOOKUP(G165,Table!$Q$3:$R$21,2,FALSE)</f>
        <v>#N/A</v>
      </c>
      <c r="E165" s="452" t="s">
        <v>902</v>
      </c>
      <c r="F165" s="452" t="s">
        <v>1986</v>
      </c>
      <c r="G165" s="452" t="s">
        <v>2259</v>
      </c>
      <c r="H165" s="452" t="s">
        <v>1994</v>
      </c>
      <c r="I165" s="453" t="s">
        <v>844</v>
      </c>
      <c r="J165" s="453">
        <v>43070.82</v>
      </c>
      <c r="K165" s="461">
        <v>-1411.5</v>
      </c>
      <c r="L165" s="461">
        <v>11988.92</v>
      </c>
      <c r="M165" s="461">
        <v>32573.4</v>
      </c>
      <c r="N165" s="461">
        <v>0</v>
      </c>
      <c r="O165" s="461">
        <v>0</v>
      </c>
      <c r="P165" s="461">
        <v>0</v>
      </c>
      <c r="Q165" s="461">
        <v>0</v>
      </c>
      <c r="R165" s="461">
        <v>0</v>
      </c>
      <c r="S165" s="461">
        <v>0</v>
      </c>
      <c r="T165" s="461">
        <v>0</v>
      </c>
      <c r="U165" s="461">
        <v>0</v>
      </c>
      <c r="V165" s="461">
        <v>0</v>
      </c>
    </row>
    <row r="166" spans="1:22" s="455" customFormat="1" ht="12.75" hidden="1" customHeight="1">
      <c r="A166" s="455" t="str">
        <f t="shared" si="4"/>
        <v>63109151901200</v>
      </c>
      <c r="B166" s="455">
        <f>VLOOKUP(LEFT($C$3:$C$2600,3),Table!$N$2:$O$88,2,FALSE)</f>
        <v>0</v>
      </c>
      <c r="C166" s="535" t="str">
        <f t="shared" si="5"/>
        <v>9151901200</v>
      </c>
      <c r="D166" s="455" t="e">
        <f>VLOOKUP(G166,Table!$Q$3:$R$21,2,FALSE)</f>
        <v>#N/A</v>
      </c>
      <c r="E166" s="452" t="s">
        <v>902</v>
      </c>
      <c r="F166" s="452" t="s">
        <v>1986</v>
      </c>
      <c r="G166" s="452" t="s">
        <v>2260</v>
      </c>
      <c r="H166" s="452" t="s">
        <v>2261</v>
      </c>
      <c r="I166" s="453" t="s">
        <v>844</v>
      </c>
      <c r="J166" s="453">
        <v>38300.400000000001</v>
      </c>
      <c r="K166" s="461">
        <v>8445.2000000000007</v>
      </c>
      <c r="L166" s="461">
        <v>15211</v>
      </c>
      <c r="M166" s="461">
        <v>17244.2</v>
      </c>
      <c r="N166" s="461">
        <v>0</v>
      </c>
      <c r="O166" s="461">
        <v>0</v>
      </c>
      <c r="P166" s="461">
        <v>0</v>
      </c>
      <c r="Q166" s="461">
        <v>0</v>
      </c>
      <c r="R166" s="461">
        <v>0</v>
      </c>
      <c r="S166" s="461">
        <v>0</v>
      </c>
      <c r="T166" s="461">
        <v>0</v>
      </c>
      <c r="U166" s="461">
        <v>0</v>
      </c>
      <c r="V166" s="461">
        <v>0</v>
      </c>
    </row>
    <row r="167" spans="1:22" s="455" customFormat="1" ht="12.75" hidden="1" customHeight="1">
      <c r="A167" s="455" t="str">
        <f t="shared" si="4"/>
        <v>63109151901500</v>
      </c>
      <c r="B167" s="455">
        <f>VLOOKUP(LEFT($C$3:$C$2600,3),Table!$N$2:$O$88,2,FALSE)</f>
        <v>0</v>
      </c>
      <c r="C167" s="535" t="str">
        <f t="shared" si="5"/>
        <v>9151901500</v>
      </c>
      <c r="D167" s="455" t="e">
        <f>VLOOKUP(G167,Table!$Q$3:$R$21,2,FALSE)</f>
        <v>#N/A</v>
      </c>
      <c r="E167" s="452" t="s">
        <v>902</v>
      </c>
      <c r="F167" s="452" t="s">
        <v>1986</v>
      </c>
      <c r="G167" s="452" t="s">
        <v>2262</v>
      </c>
      <c r="H167" s="452" t="s">
        <v>1995</v>
      </c>
      <c r="I167" s="453" t="s">
        <v>844</v>
      </c>
      <c r="J167" s="453">
        <v>5768.5</v>
      </c>
      <c r="K167" s="461">
        <v>4568.5</v>
      </c>
      <c r="L167" s="461">
        <v>0</v>
      </c>
      <c r="M167" s="461">
        <v>1200</v>
      </c>
      <c r="N167" s="461">
        <v>0</v>
      </c>
      <c r="O167" s="461">
        <v>0</v>
      </c>
      <c r="P167" s="461">
        <v>0</v>
      </c>
      <c r="Q167" s="461">
        <v>0</v>
      </c>
      <c r="R167" s="461">
        <v>0</v>
      </c>
      <c r="S167" s="461">
        <v>0</v>
      </c>
      <c r="T167" s="461">
        <v>0</v>
      </c>
      <c r="U167" s="461">
        <v>0</v>
      </c>
      <c r="V167" s="461">
        <v>0</v>
      </c>
    </row>
    <row r="168" spans="1:22" s="455" customFormat="1" ht="12.75" hidden="1" customHeight="1">
      <c r="A168" s="455" t="str">
        <f t="shared" si="4"/>
        <v>63109151901600</v>
      </c>
      <c r="B168" s="455">
        <f>VLOOKUP(LEFT($C$3:$C$2600,3),Table!$N$2:$O$88,2,FALSE)</f>
        <v>0</v>
      </c>
      <c r="C168" s="535" t="str">
        <f t="shared" si="5"/>
        <v>9151901600</v>
      </c>
      <c r="D168" s="455" t="e">
        <f>VLOOKUP(G168,Table!$Q$3:$R$21,2,FALSE)</f>
        <v>#N/A</v>
      </c>
      <c r="E168" s="452" t="s">
        <v>902</v>
      </c>
      <c r="F168" s="452" t="s">
        <v>1986</v>
      </c>
      <c r="G168" s="452" t="s">
        <v>2263</v>
      </c>
      <c r="H168" s="452" t="s">
        <v>2264</v>
      </c>
      <c r="I168" s="453" t="s">
        <v>844</v>
      </c>
      <c r="J168" s="453">
        <v>8297.99</v>
      </c>
      <c r="K168" s="461">
        <v>2345.23</v>
      </c>
      <c r="L168" s="461">
        <v>2878.26</v>
      </c>
      <c r="M168" s="461">
        <v>3074.5</v>
      </c>
      <c r="N168" s="461">
        <v>0</v>
      </c>
      <c r="O168" s="461">
        <v>0</v>
      </c>
      <c r="P168" s="461">
        <v>0</v>
      </c>
      <c r="Q168" s="461">
        <v>0</v>
      </c>
      <c r="R168" s="461">
        <v>0</v>
      </c>
      <c r="S168" s="461">
        <v>0</v>
      </c>
      <c r="T168" s="461">
        <v>0</v>
      </c>
      <c r="U168" s="461">
        <v>0</v>
      </c>
      <c r="V168" s="461">
        <v>0</v>
      </c>
    </row>
    <row r="169" spans="1:22" s="455" customFormat="1" ht="12.75" hidden="1" customHeight="1">
      <c r="A169" s="455" t="str">
        <f t="shared" si="4"/>
        <v>63109151901800</v>
      </c>
      <c r="B169" s="455">
        <f>VLOOKUP(LEFT($C$3:$C$2600,3),Table!$N$2:$O$88,2,FALSE)</f>
        <v>0</v>
      </c>
      <c r="C169" s="535" t="str">
        <f t="shared" si="5"/>
        <v>9151901800</v>
      </c>
      <c r="D169" s="455" t="e">
        <f>VLOOKUP(G169,Table!$Q$3:$R$21,2,FALSE)</f>
        <v>#N/A</v>
      </c>
      <c r="E169" s="452" t="s">
        <v>902</v>
      </c>
      <c r="F169" s="452" t="s">
        <v>1986</v>
      </c>
      <c r="G169" s="452" t="s">
        <v>2265</v>
      </c>
      <c r="H169" s="452" t="s">
        <v>2266</v>
      </c>
      <c r="I169" s="453" t="s">
        <v>844</v>
      </c>
      <c r="J169" s="453">
        <v>14698.5</v>
      </c>
      <c r="K169" s="461">
        <v>10152</v>
      </c>
      <c r="L169" s="461">
        <v>3177.6</v>
      </c>
      <c r="M169" s="461">
        <v>1838.9</v>
      </c>
      <c r="N169" s="461">
        <v>0</v>
      </c>
      <c r="O169" s="461">
        <v>0</v>
      </c>
      <c r="P169" s="461">
        <v>0</v>
      </c>
      <c r="Q169" s="461">
        <v>0</v>
      </c>
      <c r="R169" s="461">
        <v>0</v>
      </c>
      <c r="S169" s="461">
        <v>0</v>
      </c>
      <c r="T169" s="461">
        <v>0</v>
      </c>
      <c r="U169" s="461">
        <v>0</v>
      </c>
      <c r="V169" s="461">
        <v>0</v>
      </c>
    </row>
    <row r="170" spans="1:22" s="455" customFormat="1" ht="12.75" hidden="1" customHeight="1">
      <c r="A170" s="455" t="str">
        <f t="shared" si="4"/>
        <v>63109151901900</v>
      </c>
      <c r="B170" s="455">
        <f>VLOOKUP(LEFT($C$3:$C$2600,3),Table!$N$2:$O$88,2,FALSE)</f>
        <v>0</v>
      </c>
      <c r="C170" s="535" t="str">
        <f t="shared" si="5"/>
        <v>9151901900</v>
      </c>
      <c r="D170" s="455" t="e">
        <f>VLOOKUP(G170,Table!$Q$3:$R$21,2,FALSE)</f>
        <v>#N/A</v>
      </c>
      <c r="E170" s="452" t="s">
        <v>902</v>
      </c>
      <c r="F170" s="452" t="s">
        <v>1986</v>
      </c>
      <c r="G170" s="452" t="s">
        <v>2267</v>
      </c>
      <c r="H170" s="452" t="s">
        <v>2268</v>
      </c>
      <c r="I170" s="453" t="s">
        <v>844</v>
      </c>
      <c r="J170" s="453">
        <v>1386</v>
      </c>
      <c r="K170" s="461">
        <v>0</v>
      </c>
      <c r="L170" s="461">
        <v>1096</v>
      </c>
      <c r="M170" s="461">
        <v>290</v>
      </c>
      <c r="N170" s="461">
        <v>0</v>
      </c>
      <c r="O170" s="461">
        <v>0</v>
      </c>
      <c r="P170" s="461">
        <v>0</v>
      </c>
      <c r="Q170" s="461">
        <v>0</v>
      </c>
      <c r="R170" s="461">
        <v>0</v>
      </c>
      <c r="S170" s="461">
        <v>0</v>
      </c>
      <c r="T170" s="461">
        <v>0</v>
      </c>
      <c r="U170" s="461">
        <v>0</v>
      </c>
      <c r="V170" s="461">
        <v>0</v>
      </c>
    </row>
    <row r="171" spans="1:22" s="455" customFormat="1" ht="12.75" hidden="1" customHeight="1">
      <c r="A171" s="455" t="str">
        <f t="shared" si="4"/>
        <v>63109151905000</v>
      </c>
      <c r="B171" s="455">
        <f>VLOOKUP(LEFT($C$3:$C$2600,3),Table!$N$2:$O$88,2,FALSE)</f>
        <v>0</v>
      </c>
      <c r="C171" s="535" t="str">
        <f t="shared" si="5"/>
        <v>9151905000</v>
      </c>
      <c r="D171" s="455" t="e">
        <f>VLOOKUP(G171,Table!$Q$3:$R$21,2,FALSE)</f>
        <v>#N/A</v>
      </c>
      <c r="E171" s="452" t="s">
        <v>902</v>
      </c>
      <c r="F171" s="452" t="s">
        <v>1986</v>
      </c>
      <c r="G171" s="452" t="s">
        <v>2269</v>
      </c>
      <c r="H171" s="452" t="s">
        <v>2270</v>
      </c>
      <c r="I171" s="453" t="s">
        <v>844</v>
      </c>
      <c r="J171" s="453">
        <v>8067.1</v>
      </c>
      <c r="K171" s="461">
        <v>4652.88</v>
      </c>
      <c r="L171" s="461">
        <v>4433.63</v>
      </c>
      <c r="M171" s="461">
        <v>12045.59</v>
      </c>
      <c r="N171" s="461">
        <v>0</v>
      </c>
      <c r="O171" s="461">
        <v>0</v>
      </c>
      <c r="P171" s="461">
        <v>0</v>
      </c>
      <c r="Q171" s="461">
        <v>0</v>
      </c>
      <c r="R171" s="461">
        <v>0</v>
      </c>
      <c r="S171" s="461">
        <v>0</v>
      </c>
      <c r="T171" s="461">
        <v>0</v>
      </c>
      <c r="U171" s="461">
        <v>0</v>
      </c>
      <c r="V171" s="461">
        <v>0</v>
      </c>
    </row>
    <row r="172" spans="1:22" s="455" customFormat="1" ht="12.75" hidden="1" customHeight="1">
      <c r="A172" s="455" t="str">
        <f t="shared" si="4"/>
        <v>63109151910000</v>
      </c>
      <c r="B172" s="455">
        <f>VLOOKUP(LEFT($C$3:$C$2600,3),Table!$N$2:$O$88,2,FALSE)</f>
        <v>0</v>
      </c>
      <c r="C172" s="535" t="str">
        <f t="shared" si="5"/>
        <v>9151910000</v>
      </c>
      <c r="D172" s="455" t="e">
        <f>VLOOKUP(G172,Table!$Q$3:$R$21,2,FALSE)</f>
        <v>#N/A</v>
      </c>
      <c r="E172" s="452" t="s">
        <v>902</v>
      </c>
      <c r="F172" s="452" t="s">
        <v>1986</v>
      </c>
      <c r="G172" s="452" t="s">
        <v>2271</v>
      </c>
      <c r="H172" s="452" t="s">
        <v>1034</v>
      </c>
      <c r="I172" s="453" t="s">
        <v>844</v>
      </c>
      <c r="J172" s="453">
        <v>4514.6000000000004</v>
      </c>
      <c r="K172" s="461">
        <v>0</v>
      </c>
      <c r="L172" s="461">
        <v>750</v>
      </c>
      <c r="M172" s="461">
        <v>3764.6</v>
      </c>
      <c r="N172" s="461">
        <v>0</v>
      </c>
      <c r="O172" s="461">
        <v>0</v>
      </c>
      <c r="P172" s="461">
        <v>0</v>
      </c>
      <c r="Q172" s="461">
        <v>0</v>
      </c>
      <c r="R172" s="461">
        <v>0</v>
      </c>
      <c r="S172" s="461">
        <v>0</v>
      </c>
      <c r="T172" s="461">
        <v>0</v>
      </c>
      <c r="U172" s="461">
        <v>0</v>
      </c>
      <c r="V172" s="461">
        <v>0</v>
      </c>
    </row>
    <row r="173" spans="1:22" s="455" customFormat="1" ht="12.75" hidden="1" customHeight="1">
      <c r="A173" s="455" t="str">
        <f t="shared" si="4"/>
        <v>63109152301000</v>
      </c>
      <c r="B173" s="455">
        <f>VLOOKUP(LEFT($C$3:$C$2600,3),Table!$N$2:$O$88,2,FALSE)</f>
        <v>0</v>
      </c>
      <c r="C173" s="535" t="str">
        <f t="shared" si="5"/>
        <v>9152301000</v>
      </c>
      <c r="D173" s="455" t="e">
        <f>VLOOKUP(G173,Table!$Q$3:$R$21,2,FALSE)</f>
        <v>#N/A</v>
      </c>
      <c r="E173" s="452" t="s">
        <v>902</v>
      </c>
      <c r="F173" s="452" t="s">
        <v>1986</v>
      </c>
      <c r="G173" s="452" t="s">
        <v>1475</v>
      </c>
      <c r="H173" s="452" t="s">
        <v>1476</v>
      </c>
      <c r="I173" s="453" t="s">
        <v>844</v>
      </c>
      <c r="J173" s="453">
        <v>-3334.82</v>
      </c>
      <c r="K173" s="461">
        <v>-250</v>
      </c>
      <c r="L173" s="461">
        <v>25</v>
      </c>
      <c r="M173" s="461">
        <v>-200</v>
      </c>
      <c r="N173" s="461">
        <v>0</v>
      </c>
      <c r="O173" s="461">
        <v>0</v>
      </c>
      <c r="P173" s="461">
        <v>0</v>
      </c>
      <c r="Q173" s="461">
        <v>0</v>
      </c>
      <c r="R173" s="461">
        <v>0</v>
      </c>
      <c r="S173" s="461">
        <v>0</v>
      </c>
      <c r="T173" s="461">
        <v>0</v>
      </c>
      <c r="U173" s="461">
        <v>0</v>
      </c>
      <c r="V173" s="461">
        <v>0</v>
      </c>
    </row>
    <row r="174" spans="1:22" s="455" customFormat="1" ht="12.75" hidden="1" customHeight="1">
      <c r="A174" s="455" t="str">
        <f t="shared" si="4"/>
        <v>63109152301100</v>
      </c>
      <c r="B174" s="455">
        <f>VLOOKUP(LEFT($C$3:$C$2600,3),Table!$N$2:$O$88,2,FALSE)</f>
        <v>0</v>
      </c>
      <c r="C174" s="535" t="str">
        <f t="shared" si="5"/>
        <v>9152301100</v>
      </c>
      <c r="D174" s="455" t="e">
        <f>VLOOKUP(G174,Table!$Q$3:$R$21,2,FALSE)</f>
        <v>#N/A</v>
      </c>
      <c r="E174" s="452" t="s">
        <v>902</v>
      </c>
      <c r="F174" s="452" t="s">
        <v>1986</v>
      </c>
      <c r="G174" s="452" t="s">
        <v>1477</v>
      </c>
      <c r="H174" s="452" t="s">
        <v>1478</v>
      </c>
      <c r="I174" s="453" t="s">
        <v>844</v>
      </c>
      <c r="J174" s="453">
        <v>2466.5</v>
      </c>
      <c r="K174" s="461">
        <v>1415</v>
      </c>
      <c r="L174" s="461">
        <v>1325</v>
      </c>
      <c r="M174" s="461">
        <v>1226.5</v>
      </c>
      <c r="N174" s="461">
        <v>0</v>
      </c>
      <c r="O174" s="461">
        <v>0</v>
      </c>
      <c r="P174" s="461">
        <v>0</v>
      </c>
      <c r="Q174" s="461">
        <v>0</v>
      </c>
      <c r="R174" s="461">
        <v>0</v>
      </c>
      <c r="S174" s="461">
        <v>0</v>
      </c>
      <c r="T174" s="461">
        <v>0</v>
      </c>
      <c r="U174" s="461">
        <v>0</v>
      </c>
      <c r="V174" s="461">
        <v>0</v>
      </c>
    </row>
    <row r="175" spans="1:22" s="455" customFormat="1" ht="12.75" hidden="1" customHeight="1">
      <c r="A175" s="455" t="str">
        <f t="shared" si="4"/>
        <v>63109152402500</v>
      </c>
      <c r="B175" s="455">
        <f>VLOOKUP(LEFT($C$3:$C$2600,3),Table!$N$2:$O$88,2,FALSE)</f>
        <v>0</v>
      </c>
      <c r="C175" s="535" t="str">
        <f t="shared" si="5"/>
        <v>9152402500</v>
      </c>
      <c r="D175" s="455" t="e">
        <f>VLOOKUP(G175,Table!$Q$3:$R$21,2,FALSE)</f>
        <v>#N/A</v>
      </c>
      <c r="E175" s="452" t="s">
        <v>902</v>
      </c>
      <c r="F175" s="452" t="s">
        <v>1986</v>
      </c>
      <c r="G175" s="452" t="s">
        <v>2272</v>
      </c>
      <c r="H175" s="452" t="s">
        <v>2273</v>
      </c>
      <c r="I175" s="453" t="s">
        <v>844</v>
      </c>
      <c r="J175" s="453">
        <v>13200</v>
      </c>
      <c r="K175" s="461">
        <v>4400</v>
      </c>
      <c r="L175" s="461">
        <v>4400</v>
      </c>
      <c r="M175" s="461">
        <v>4400</v>
      </c>
      <c r="N175" s="461">
        <v>0</v>
      </c>
      <c r="O175" s="461">
        <v>0</v>
      </c>
      <c r="P175" s="461">
        <v>0</v>
      </c>
      <c r="Q175" s="461">
        <v>0</v>
      </c>
      <c r="R175" s="461">
        <v>0</v>
      </c>
      <c r="S175" s="461">
        <v>0</v>
      </c>
      <c r="T175" s="461">
        <v>0</v>
      </c>
      <c r="U175" s="461">
        <v>0</v>
      </c>
      <c r="V175" s="461">
        <v>0</v>
      </c>
    </row>
    <row r="176" spans="1:22" s="455" customFormat="1" ht="12.75" hidden="1" customHeight="1">
      <c r="A176" s="455" t="str">
        <f t="shared" si="4"/>
        <v>63109152601000</v>
      </c>
      <c r="B176" s="455">
        <f>VLOOKUP(LEFT($C$3:$C$2600,3),Table!$N$2:$O$88,2,FALSE)</f>
        <v>0</v>
      </c>
      <c r="C176" s="535" t="str">
        <f t="shared" si="5"/>
        <v>9152601000</v>
      </c>
      <c r="D176" s="455" t="e">
        <f>VLOOKUP(G176,Table!$Q$3:$R$21,2,FALSE)</f>
        <v>#N/A</v>
      </c>
      <c r="E176" s="452" t="s">
        <v>902</v>
      </c>
      <c r="F176" s="452" t="s">
        <v>1986</v>
      </c>
      <c r="G176" s="452" t="s">
        <v>2274</v>
      </c>
      <c r="H176" s="452" t="s">
        <v>1447</v>
      </c>
      <c r="I176" s="453" t="s">
        <v>844</v>
      </c>
      <c r="J176" s="453">
        <v>26845.99</v>
      </c>
      <c r="K176" s="461">
        <v>9000</v>
      </c>
      <c r="L176" s="461">
        <v>9000</v>
      </c>
      <c r="M176" s="461">
        <v>8845.99</v>
      </c>
      <c r="N176" s="461">
        <v>0</v>
      </c>
      <c r="O176" s="461">
        <v>0</v>
      </c>
      <c r="P176" s="461">
        <v>0</v>
      </c>
      <c r="Q176" s="461">
        <v>0</v>
      </c>
      <c r="R176" s="461">
        <v>0</v>
      </c>
      <c r="S176" s="461">
        <v>0</v>
      </c>
      <c r="T176" s="461">
        <v>0</v>
      </c>
      <c r="U176" s="461">
        <v>0</v>
      </c>
      <c r="V176" s="461">
        <v>0</v>
      </c>
    </row>
    <row r="177" spans="1:22" s="455" customFormat="1" ht="12.75" hidden="1" customHeight="1">
      <c r="A177" s="455" t="str">
        <f t="shared" si="4"/>
        <v>63109152801000</v>
      </c>
      <c r="B177" s="455">
        <f>VLOOKUP(LEFT($C$3:$C$2600,3),Table!$N$2:$O$88,2,FALSE)</f>
        <v>0</v>
      </c>
      <c r="C177" s="535" t="str">
        <f t="shared" si="5"/>
        <v>9152801000</v>
      </c>
      <c r="D177" s="455" t="e">
        <f>VLOOKUP(G177,Table!$Q$3:$R$21,2,FALSE)</f>
        <v>#N/A</v>
      </c>
      <c r="E177" s="452" t="s">
        <v>902</v>
      </c>
      <c r="F177" s="452" t="s">
        <v>1986</v>
      </c>
      <c r="G177" s="452" t="s">
        <v>1041</v>
      </c>
      <c r="H177" s="452" t="s">
        <v>2275</v>
      </c>
      <c r="I177" s="453" t="s">
        <v>844</v>
      </c>
      <c r="J177" s="453">
        <v>2825</v>
      </c>
      <c r="K177" s="461">
        <v>0</v>
      </c>
      <c r="L177" s="461">
        <v>225</v>
      </c>
      <c r="M177" s="461">
        <v>2858.3</v>
      </c>
      <c r="N177" s="461">
        <v>0</v>
      </c>
      <c r="O177" s="461">
        <v>0</v>
      </c>
      <c r="P177" s="461">
        <v>0</v>
      </c>
      <c r="Q177" s="461">
        <v>0</v>
      </c>
      <c r="R177" s="461">
        <v>0</v>
      </c>
      <c r="S177" s="461">
        <v>0</v>
      </c>
      <c r="T177" s="461">
        <v>0</v>
      </c>
      <c r="U177" s="461">
        <v>0</v>
      </c>
      <c r="V177" s="461">
        <v>0</v>
      </c>
    </row>
    <row r="178" spans="1:22" s="455" customFormat="1" ht="12.75" hidden="1" customHeight="1">
      <c r="A178" s="455" t="str">
        <f t="shared" si="4"/>
        <v>63109152804000</v>
      </c>
      <c r="B178" s="455">
        <f>VLOOKUP(LEFT($C$3:$C$2600,3),Table!$N$2:$O$88,2,FALSE)</f>
        <v>0</v>
      </c>
      <c r="C178" s="535" t="str">
        <f t="shared" si="5"/>
        <v>9152804000</v>
      </c>
      <c r="D178" s="455" t="e">
        <f>VLOOKUP(G178,Table!$Q$3:$R$21,2,FALSE)</f>
        <v>#N/A</v>
      </c>
      <c r="E178" s="452" t="s">
        <v>902</v>
      </c>
      <c r="F178" s="452" t="s">
        <v>1986</v>
      </c>
      <c r="G178" s="452" t="s">
        <v>1203</v>
      </c>
      <c r="H178" s="452" t="s">
        <v>2307</v>
      </c>
      <c r="I178" s="453" t="s">
        <v>844</v>
      </c>
      <c r="J178" s="453">
        <v>-2054.73</v>
      </c>
      <c r="K178" s="461">
        <v>0</v>
      </c>
      <c r="L178" s="461">
        <v>0</v>
      </c>
      <c r="M178" s="461">
        <v>-2054.73</v>
      </c>
      <c r="N178" s="461">
        <v>0</v>
      </c>
      <c r="O178" s="461">
        <v>0</v>
      </c>
      <c r="P178" s="461">
        <v>0</v>
      </c>
      <c r="Q178" s="461">
        <v>0</v>
      </c>
      <c r="R178" s="461">
        <v>0</v>
      </c>
      <c r="S178" s="461">
        <v>0</v>
      </c>
      <c r="T178" s="461">
        <v>0</v>
      </c>
      <c r="U178" s="461">
        <v>0</v>
      </c>
      <c r="V178" s="461">
        <v>0</v>
      </c>
    </row>
    <row r="179" spans="1:22" s="455" customFormat="1" ht="12.75" hidden="1" customHeight="1">
      <c r="A179" s="455" t="str">
        <f t="shared" si="4"/>
        <v>63109153000000</v>
      </c>
      <c r="B179" s="455">
        <f>VLOOKUP(LEFT($C$3:$C$2600,3),Table!$N$2:$O$88,2,FALSE)</f>
        <v>0</v>
      </c>
      <c r="C179" s="535" t="str">
        <f t="shared" si="5"/>
        <v>9153000000</v>
      </c>
      <c r="D179" s="455" t="e">
        <f>VLOOKUP(G179,Table!$Q$3:$R$21,2,FALSE)</f>
        <v>#N/A</v>
      </c>
      <c r="E179" s="452" t="s">
        <v>902</v>
      </c>
      <c r="F179" s="452" t="s">
        <v>1986</v>
      </c>
      <c r="G179" s="452" t="s">
        <v>2276</v>
      </c>
      <c r="H179" s="452" t="s">
        <v>2277</v>
      </c>
      <c r="I179" s="453" t="s">
        <v>844</v>
      </c>
      <c r="J179" s="453">
        <v>390105</v>
      </c>
      <c r="K179" s="461">
        <v>129238</v>
      </c>
      <c r="L179" s="461">
        <v>129013</v>
      </c>
      <c r="M179" s="461">
        <v>131854</v>
      </c>
      <c r="N179" s="461">
        <v>0</v>
      </c>
      <c r="O179" s="461">
        <v>0</v>
      </c>
      <c r="P179" s="461">
        <v>0</v>
      </c>
      <c r="Q179" s="461">
        <v>0</v>
      </c>
      <c r="R179" s="461">
        <v>0</v>
      </c>
      <c r="S179" s="461">
        <v>0</v>
      </c>
      <c r="T179" s="461">
        <v>0</v>
      </c>
      <c r="U179" s="461">
        <v>0</v>
      </c>
      <c r="V179" s="461">
        <v>0</v>
      </c>
    </row>
    <row r="180" spans="1:22" s="455" customFormat="1" ht="12.75" hidden="1" customHeight="1">
      <c r="A180" s="455" t="str">
        <f t="shared" si="4"/>
        <v>63109153100000</v>
      </c>
      <c r="B180" s="455">
        <f>VLOOKUP(LEFT($C$3:$C$2600,3),Table!$N$2:$O$88,2,FALSE)</f>
        <v>0</v>
      </c>
      <c r="C180" s="535" t="str">
        <f t="shared" si="5"/>
        <v>9153100000</v>
      </c>
      <c r="D180" s="455" t="e">
        <f>VLOOKUP(G180,Table!$Q$3:$R$21,2,FALSE)</f>
        <v>#N/A</v>
      </c>
      <c r="E180" s="452" t="s">
        <v>902</v>
      </c>
      <c r="F180" s="452" t="s">
        <v>1986</v>
      </c>
      <c r="G180" s="452" t="s">
        <v>2278</v>
      </c>
      <c r="H180" s="452" t="s">
        <v>2279</v>
      </c>
      <c r="I180" s="453" t="s">
        <v>844</v>
      </c>
      <c r="J180" s="453">
        <v>359.5</v>
      </c>
      <c r="K180" s="461">
        <v>0</v>
      </c>
      <c r="L180" s="461">
        <v>0</v>
      </c>
      <c r="M180" s="461">
        <v>359.5</v>
      </c>
      <c r="N180" s="461">
        <v>0</v>
      </c>
      <c r="O180" s="461">
        <v>0</v>
      </c>
      <c r="P180" s="461">
        <v>0</v>
      </c>
      <c r="Q180" s="461">
        <v>0</v>
      </c>
      <c r="R180" s="461">
        <v>0</v>
      </c>
      <c r="S180" s="461">
        <v>0</v>
      </c>
      <c r="T180" s="461">
        <v>0</v>
      </c>
      <c r="U180" s="461">
        <v>0</v>
      </c>
      <c r="V180" s="461">
        <v>0</v>
      </c>
    </row>
    <row r="181" spans="1:22" s="455" customFormat="1" ht="12.75" hidden="1" customHeight="1">
      <c r="A181" s="455" t="str">
        <f t="shared" si="4"/>
        <v>63109154500000</v>
      </c>
      <c r="B181" s="455">
        <f>VLOOKUP(LEFT($C$3:$C$2600,3),Table!$N$2:$O$88,2,FALSE)</f>
        <v>0</v>
      </c>
      <c r="C181" s="535" t="str">
        <f t="shared" si="5"/>
        <v>9154500000</v>
      </c>
      <c r="D181" s="455" t="e">
        <f>VLOOKUP(G181,Table!$Q$3:$R$21,2,FALSE)</f>
        <v>#N/A</v>
      </c>
      <c r="E181" s="452" t="s">
        <v>902</v>
      </c>
      <c r="F181" s="452" t="s">
        <v>1986</v>
      </c>
      <c r="G181" s="452" t="s">
        <v>1462</v>
      </c>
      <c r="H181" s="452" t="s">
        <v>2281</v>
      </c>
      <c r="I181" s="453" t="s">
        <v>844</v>
      </c>
      <c r="J181" s="453">
        <v>50033.5</v>
      </c>
      <c r="K181" s="461">
        <v>1366</v>
      </c>
      <c r="L181" s="461">
        <v>28000</v>
      </c>
      <c r="M181" s="461">
        <v>22893.5</v>
      </c>
      <c r="N181" s="461">
        <v>0</v>
      </c>
      <c r="O181" s="461">
        <v>0</v>
      </c>
      <c r="P181" s="461">
        <v>0</v>
      </c>
      <c r="Q181" s="461">
        <v>0</v>
      </c>
      <c r="R181" s="461">
        <v>0</v>
      </c>
      <c r="S181" s="461">
        <v>0</v>
      </c>
      <c r="T181" s="461">
        <v>0</v>
      </c>
      <c r="U181" s="461">
        <v>0</v>
      </c>
      <c r="V181" s="461">
        <v>0</v>
      </c>
    </row>
    <row r="182" spans="1:22" s="455" customFormat="1" ht="12.75" hidden="1" customHeight="1">
      <c r="A182" s="455" t="str">
        <f t="shared" si="4"/>
        <v>63109155202000</v>
      </c>
      <c r="B182" s="455">
        <f>VLOOKUP(LEFT($C$3:$C$2600,3),Table!$N$2:$O$88,2,FALSE)</f>
        <v>0</v>
      </c>
      <c r="C182" s="535" t="str">
        <f t="shared" si="5"/>
        <v>9155202000</v>
      </c>
      <c r="D182" s="455" t="e">
        <f>VLOOKUP(G182,Table!$Q$3:$R$21,2,FALSE)</f>
        <v>#N/A</v>
      </c>
      <c r="E182" s="452" t="s">
        <v>902</v>
      </c>
      <c r="F182" s="452" t="s">
        <v>1986</v>
      </c>
      <c r="G182" s="452" t="s">
        <v>1485</v>
      </c>
      <c r="H182" s="452" t="s">
        <v>2282</v>
      </c>
      <c r="I182" s="453" t="s">
        <v>844</v>
      </c>
      <c r="J182" s="453">
        <v>2155.12</v>
      </c>
      <c r="K182" s="461">
        <v>661.16</v>
      </c>
      <c r="L182" s="461">
        <v>819.86</v>
      </c>
      <c r="M182" s="461">
        <v>674.1</v>
      </c>
      <c r="N182" s="461">
        <v>0</v>
      </c>
      <c r="O182" s="461">
        <v>0</v>
      </c>
      <c r="P182" s="461">
        <v>0</v>
      </c>
      <c r="Q182" s="461">
        <v>0</v>
      </c>
      <c r="R182" s="461">
        <v>0</v>
      </c>
      <c r="S182" s="461">
        <v>0</v>
      </c>
      <c r="T182" s="461">
        <v>0</v>
      </c>
      <c r="U182" s="461">
        <v>0</v>
      </c>
      <c r="V182" s="461">
        <v>0</v>
      </c>
    </row>
    <row r="183" spans="1:22" s="455" customFormat="1" ht="12.75" hidden="1" customHeight="1">
      <c r="A183" s="455" t="str">
        <f t="shared" si="4"/>
        <v>69105301001000</v>
      </c>
      <c r="B183" s="455" t="str">
        <f>VLOOKUP(LEFT($C$3:$C$2600,3),Table!$N$2:$O$88,2,FALSE)</f>
        <v>Selling &amp; admin expenses</v>
      </c>
      <c r="C183" s="535" t="str">
        <f t="shared" si="5"/>
        <v>5301001000</v>
      </c>
      <c r="D183" s="455" t="e">
        <f>VLOOKUP(G183,Table!$Q$3:$R$21,2,FALSE)</f>
        <v>#N/A</v>
      </c>
      <c r="E183" s="452" t="s">
        <v>902</v>
      </c>
      <c r="F183" s="452" t="s">
        <v>2283</v>
      </c>
      <c r="G183" s="452" t="s">
        <v>1636</v>
      </c>
      <c r="H183" s="452" t="s">
        <v>1637</v>
      </c>
      <c r="I183" s="453" t="s">
        <v>844</v>
      </c>
      <c r="J183" s="453">
        <v>36240</v>
      </c>
      <c r="K183" s="461">
        <v>12080</v>
      </c>
      <c r="L183" s="461">
        <v>12080</v>
      </c>
      <c r="M183" s="461">
        <v>12080</v>
      </c>
      <c r="N183" s="461">
        <v>0</v>
      </c>
      <c r="O183" s="461">
        <v>0</v>
      </c>
      <c r="P183" s="461">
        <v>0</v>
      </c>
      <c r="Q183" s="461">
        <v>0</v>
      </c>
      <c r="R183" s="461">
        <v>0</v>
      </c>
      <c r="S183" s="461">
        <v>0</v>
      </c>
      <c r="T183" s="461">
        <v>0</v>
      </c>
      <c r="U183" s="461">
        <v>0</v>
      </c>
      <c r="V183" s="461">
        <v>0</v>
      </c>
    </row>
    <row r="184" spans="1:22" s="455" customFormat="1" ht="12.75" hidden="1" customHeight="1">
      <c r="A184" s="455" t="str">
        <f t="shared" si="4"/>
        <v>69105301001300</v>
      </c>
      <c r="B184" s="455" t="str">
        <f>VLOOKUP(LEFT($C$3:$C$2600,3),Table!$N$2:$O$88,2,FALSE)</f>
        <v>Selling &amp; admin expenses</v>
      </c>
      <c r="C184" s="535" t="str">
        <f t="shared" si="5"/>
        <v>5301001300</v>
      </c>
      <c r="D184" s="455" t="e">
        <f>VLOOKUP(G184,Table!$Q$3:$R$21,2,FALSE)</f>
        <v>#N/A</v>
      </c>
      <c r="E184" s="452" t="s">
        <v>902</v>
      </c>
      <c r="F184" s="452" t="s">
        <v>2283</v>
      </c>
      <c r="G184" s="452" t="s">
        <v>2284</v>
      </c>
      <c r="H184" s="452" t="s">
        <v>2241</v>
      </c>
      <c r="I184" s="453" t="s">
        <v>844</v>
      </c>
      <c r="J184" s="453">
        <v>200</v>
      </c>
      <c r="K184" s="461">
        <v>100</v>
      </c>
      <c r="L184" s="461">
        <v>50</v>
      </c>
      <c r="M184" s="461">
        <v>50</v>
      </c>
      <c r="N184" s="461">
        <v>0</v>
      </c>
      <c r="O184" s="461">
        <v>0</v>
      </c>
      <c r="P184" s="461">
        <v>0</v>
      </c>
      <c r="Q184" s="461">
        <v>0</v>
      </c>
      <c r="R184" s="461">
        <v>0</v>
      </c>
      <c r="S184" s="461">
        <v>0</v>
      </c>
      <c r="T184" s="461">
        <v>0</v>
      </c>
      <c r="U184" s="461">
        <v>0</v>
      </c>
      <c r="V184" s="461">
        <v>0</v>
      </c>
    </row>
    <row r="185" spans="1:22" s="455" customFormat="1" ht="12.75" hidden="1" customHeight="1">
      <c r="A185" s="455" t="str">
        <f t="shared" si="4"/>
        <v>69105301001400</v>
      </c>
      <c r="B185" s="455" t="str">
        <f>VLOOKUP(LEFT($C$3:$C$2600,3),Table!$N$2:$O$88,2,FALSE)</f>
        <v>Selling &amp; admin expenses</v>
      </c>
      <c r="C185" s="535" t="str">
        <f t="shared" si="5"/>
        <v>5301001400</v>
      </c>
      <c r="D185" s="455" t="e">
        <f>VLOOKUP(G185,Table!$Q$3:$R$21,2,FALSE)</f>
        <v>#N/A</v>
      </c>
      <c r="E185" s="452" t="s">
        <v>902</v>
      </c>
      <c r="F185" s="452" t="s">
        <v>2283</v>
      </c>
      <c r="G185" s="452" t="s">
        <v>1639</v>
      </c>
      <c r="H185" s="452" t="s">
        <v>1640</v>
      </c>
      <c r="I185" s="453" t="s">
        <v>844</v>
      </c>
      <c r="J185" s="453">
        <v>5438</v>
      </c>
      <c r="K185" s="461">
        <v>1813</v>
      </c>
      <c r="L185" s="461">
        <v>1813</v>
      </c>
      <c r="M185" s="461">
        <v>1812</v>
      </c>
      <c r="N185" s="461">
        <v>0</v>
      </c>
      <c r="O185" s="461">
        <v>0</v>
      </c>
      <c r="P185" s="461">
        <v>0</v>
      </c>
      <c r="Q185" s="461">
        <v>0</v>
      </c>
      <c r="R185" s="461">
        <v>0</v>
      </c>
      <c r="S185" s="461">
        <v>0</v>
      </c>
      <c r="T185" s="461">
        <v>0</v>
      </c>
      <c r="U185" s="461">
        <v>0</v>
      </c>
      <c r="V185" s="461">
        <v>0</v>
      </c>
    </row>
    <row r="186" spans="1:22" s="455" customFormat="1" ht="12.75" hidden="1" customHeight="1">
      <c r="A186" s="455" t="str">
        <f t="shared" si="4"/>
        <v>69105301001500</v>
      </c>
      <c r="B186" s="455" t="str">
        <f>VLOOKUP(LEFT($C$3:$C$2600,3),Table!$N$2:$O$88,2,FALSE)</f>
        <v>Selling &amp; admin expenses</v>
      </c>
      <c r="C186" s="535" t="str">
        <f t="shared" si="5"/>
        <v>5301001500</v>
      </c>
      <c r="D186" s="455" t="e">
        <f>VLOOKUP(G186,Table!$Q$3:$R$21,2,FALSE)</f>
        <v>#N/A</v>
      </c>
      <c r="E186" s="452" t="s">
        <v>902</v>
      </c>
      <c r="F186" s="452" t="s">
        <v>2283</v>
      </c>
      <c r="G186" s="452" t="s">
        <v>1641</v>
      </c>
      <c r="H186" s="452" t="s">
        <v>2285</v>
      </c>
      <c r="I186" s="453" t="s">
        <v>844</v>
      </c>
      <c r="J186" s="453">
        <v>464.85</v>
      </c>
      <c r="K186" s="461">
        <v>154.94999999999999</v>
      </c>
      <c r="L186" s="461">
        <v>154.94999999999999</v>
      </c>
      <c r="M186" s="461">
        <v>154.94999999999999</v>
      </c>
      <c r="N186" s="461">
        <v>0</v>
      </c>
      <c r="O186" s="461">
        <v>0</v>
      </c>
      <c r="P186" s="461">
        <v>0</v>
      </c>
      <c r="Q186" s="461">
        <v>0</v>
      </c>
      <c r="R186" s="461">
        <v>0</v>
      </c>
      <c r="S186" s="461">
        <v>0</v>
      </c>
      <c r="T186" s="461">
        <v>0</v>
      </c>
      <c r="U186" s="461">
        <v>0</v>
      </c>
      <c r="V186" s="461">
        <v>0</v>
      </c>
    </row>
    <row r="187" spans="1:22" s="455" customFormat="1" ht="12.75" hidden="1" customHeight="1">
      <c r="A187" s="455" t="str">
        <f t="shared" si="4"/>
        <v>69105301001600</v>
      </c>
      <c r="B187" s="455" t="str">
        <f>VLOOKUP(LEFT($C$3:$C$2600,3),Table!$N$2:$O$88,2,FALSE)</f>
        <v>Selling &amp; admin expenses</v>
      </c>
      <c r="C187" s="535" t="str">
        <f t="shared" si="5"/>
        <v>5301001600</v>
      </c>
      <c r="D187" s="455" t="e">
        <f>VLOOKUP(G187,Table!$Q$3:$R$21,2,FALSE)</f>
        <v>#N/A</v>
      </c>
      <c r="E187" s="452" t="s">
        <v>902</v>
      </c>
      <c r="F187" s="452" t="s">
        <v>2283</v>
      </c>
      <c r="G187" s="452" t="s">
        <v>1572</v>
      </c>
      <c r="H187" s="452" t="s">
        <v>1573</v>
      </c>
      <c r="I187" s="453" t="s">
        <v>844</v>
      </c>
      <c r="J187" s="453">
        <v>11238</v>
      </c>
      <c r="K187" s="461">
        <v>3746</v>
      </c>
      <c r="L187" s="461">
        <v>3746</v>
      </c>
      <c r="M187" s="461">
        <v>3746</v>
      </c>
      <c r="N187" s="461">
        <v>0</v>
      </c>
      <c r="O187" s="461">
        <v>0</v>
      </c>
      <c r="P187" s="461">
        <v>0</v>
      </c>
      <c r="Q187" s="461">
        <v>0</v>
      </c>
      <c r="R187" s="461">
        <v>0</v>
      </c>
      <c r="S187" s="461">
        <v>0</v>
      </c>
      <c r="T187" s="461">
        <v>0</v>
      </c>
      <c r="U187" s="461">
        <v>0</v>
      </c>
      <c r="V187" s="461">
        <v>0</v>
      </c>
    </row>
    <row r="188" spans="1:22" s="455" customFormat="1" ht="12.75" hidden="1" customHeight="1">
      <c r="A188" s="455" t="str">
        <f t="shared" si="4"/>
        <v>69105301001900</v>
      </c>
      <c r="B188" s="455" t="str">
        <f>VLOOKUP(LEFT($C$3:$C$2600,3),Table!$N$2:$O$88,2,FALSE)</f>
        <v>Selling &amp; admin expenses</v>
      </c>
      <c r="C188" s="535" t="str">
        <f t="shared" si="5"/>
        <v>5301001900</v>
      </c>
      <c r="D188" s="455" t="e">
        <f>VLOOKUP(G188,Table!$Q$3:$R$21,2,FALSE)</f>
        <v>#N/A</v>
      </c>
      <c r="E188" s="452" t="s">
        <v>902</v>
      </c>
      <c r="F188" s="452" t="s">
        <v>2283</v>
      </c>
      <c r="G188" s="452" t="s">
        <v>1642</v>
      </c>
      <c r="H188" s="452" t="s">
        <v>2243</v>
      </c>
      <c r="I188" s="453" t="s">
        <v>844</v>
      </c>
      <c r="J188" s="453">
        <v>362.4</v>
      </c>
      <c r="K188" s="461">
        <v>120.8</v>
      </c>
      <c r="L188" s="461">
        <v>120.8</v>
      </c>
      <c r="M188" s="461">
        <v>120.8</v>
      </c>
      <c r="N188" s="461">
        <v>0</v>
      </c>
      <c r="O188" s="461">
        <v>0</v>
      </c>
      <c r="P188" s="461">
        <v>0</v>
      </c>
      <c r="Q188" s="461">
        <v>0</v>
      </c>
      <c r="R188" s="461">
        <v>0</v>
      </c>
      <c r="S188" s="461">
        <v>0</v>
      </c>
      <c r="T188" s="461">
        <v>0</v>
      </c>
      <c r="U188" s="461">
        <v>0</v>
      </c>
      <c r="V188" s="461">
        <v>0</v>
      </c>
    </row>
    <row r="189" spans="1:22" s="455" customFormat="1" ht="12.75" hidden="1" customHeight="1">
      <c r="A189" s="455" t="str">
        <f t="shared" si="4"/>
        <v>69105301501000</v>
      </c>
      <c r="B189" s="455" t="str">
        <f>VLOOKUP(LEFT($C$3:$C$2600,3),Table!$N$2:$O$88,2,FALSE)</f>
        <v>Selling &amp; admin expenses</v>
      </c>
      <c r="C189" s="535" t="str">
        <f t="shared" si="5"/>
        <v>5301501000</v>
      </c>
      <c r="D189" s="455" t="e">
        <f>VLOOKUP(G189,Table!$Q$3:$R$21,2,FALSE)</f>
        <v>#N/A</v>
      </c>
      <c r="E189" s="452" t="s">
        <v>902</v>
      </c>
      <c r="F189" s="452" t="s">
        <v>2283</v>
      </c>
      <c r="G189" s="452" t="s">
        <v>1621</v>
      </c>
      <c r="H189" s="452" t="s">
        <v>2251</v>
      </c>
      <c r="I189" s="453" t="s">
        <v>844</v>
      </c>
      <c r="J189" s="453">
        <v>1891.1</v>
      </c>
      <c r="K189" s="461">
        <v>773.8</v>
      </c>
      <c r="L189" s="461">
        <v>971.3</v>
      </c>
      <c r="M189" s="461">
        <v>1203.8</v>
      </c>
      <c r="N189" s="461">
        <v>0</v>
      </c>
      <c r="O189" s="461">
        <v>0</v>
      </c>
      <c r="P189" s="461">
        <v>0</v>
      </c>
      <c r="Q189" s="461">
        <v>0</v>
      </c>
      <c r="R189" s="461">
        <v>0</v>
      </c>
      <c r="S189" s="461">
        <v>0</v>
      </c>
      <c r="T189" s="461">
        <v>0</v>
      </c>
      <c r="U189" s="461">
        <v>0</v>
      </c>
      <c r="V189" s="461">
        <v>0</v>
      </c>
    </row>
    <row r="190" spans="1:22" s="455" customFormat="1" ht="12.75" hidden="1" customHeight="1">
      <c r="A190" s="455" t="str">
        <f t="shared" si="4"/>
        <v>69105301501100</v>
      </c>
      <c r="B190" s="455" t="str">
        <f>VLOOKUP(LEFT($C$3:$C$2600,3),Table!$N$2:$O$88,2,FALSE)</f>
        <v>Selling &amp; admin expenses</v>
      </c>
      <c r="C190" s="535" t="str">
        <f t="shared" si="5"/>
        <v>5301501100</v>
      </c>
      <c r="D190" s="455" t="e">
        <f>VLOOKUP(G190,Table!$Q$3:$R$21,2,FALSE)</f>
        <v>#N/A</v>
      </c>
      <c r="E190" s="452" t="s">
        <v>902</v>
      </c>
      <c r="F190" s="452" t="s">
        <v>2283</v>
      </c>
      <c r="G190" s="452" t="s">
        <v>1521</v>
      </c>
      <c r="H190" s="452" t="s">
        <v>2252</v>
      </c>
      <c r="I190" s="453" t="s">
        <v>844</v>
      </c>
      <c r="J190" s="453">
        <v>4852.3599999999997</v>
      </c>
      <c r="K190" s="461">
        <v>0</v>
      </c>
      <c r="L190" s="461">
        <v>3850.42</v>
      </c>
      <c r="M190" s="461">
        <v>8757.1200000000008</v>
      </c>
      <c r="N190" s="461">
        <v>0</v>
      </c>
      <c r="O190" s="461">
        <v>0</v>
      </c>
      <c r="P190" s="461">
        <v>0</v>
      </c>
      <c r="Q190" s="461">
        <v>0</v>
      </c>
      <c r="R190" s="461">
        <v>0</v>
      </c>
      <c r="S190" s="461">
        <v>0</v>
      </c>
      <c r="T190" s="461">
        <v>0</v>
      </c>
      <c r="U190" s="461">
        <v>0</v>
      </c>
      <c r="V190" s="461">
        <v>0</v>
      </c>
    </row>
    <row r="191" spans="1:22" s="455" customFormat="1" ht="12.75" hidden="1" customHeight="1">
      <c r="A191" s="455" t="str">
        <f t="shared" si="4"/>
        <v>69105301501200</v>
      </c>
      <c r="B191" s="455" t="str">
        <f>VLOOKUP(LEFT($C$3:$C$2600,3),Table!$N$2:$O$88,2,FALSE)</f>
        <v>Selling &amp; admin expenses</v>
      </c>
      <c r="C191" s="535" t="str">
        <f t="shared" si="5"/>
        <v>5301501200</v>
      </c>
      <c r="D191" s="455" t="e">
        <f>VLOOKUP(G191,Table!$Q$3:$R$21,2,FALSE)</f>
        <v>#N/A</v>
      </c>
      <c r="E191" s="452" t="s">
        <v>902</v>
      </c>
      <c r="F191" s="452" t="s">
        <v>2283</v>
      </c>
      <c r="G191" s="452" t="s">
        <v>2286</v>
      </c>
      <c r="H191" s="452" t="s">
        <v>2287</v>
      </c>
      <c r="I191" s="453" t="s">
        <v>844</v>
      </c>
      <c r="J191" s="453">
        <v>473.97</v>
      </c>
      <c r="K191" s="461">
        <v>473.97</v>
      </c>
      <c r="L191" s="461">
        <v>456.87</v>
      </c>
      <c r="M191" s="461">
        <v>292.13</v>
      </c>
      <c r="N191" s="461">
        <v>0</v>
      </c>
      <c r="O191" s="461">
        <v>0</v>
      </c>
      <c r="P191" s="461">
        <v>0</v>
      </c>
      <c r="Q191" s="461">
        <v>0</v>
      </c>
      <c r="R191" s="461">
        <v>0</v>
      </c>
      <c r="S191" s="461">
        <v>0</v>
      </c>
      <c r="T191" s="461">
        <v>0</v>
      </c>
      <c r="U191" s="461">
        <v>0</v>
      </c>
      <c r="V191" s="461">
        <v>0</v>
      </c>
    </row>
    <row r="192" spans="1:22" s="455" customFormat="1" ht="12.75" hidden="1" customHeight="1">
      <c r="A192" s="455" t="str">
        <f t="shared" si="4"/>
        <v>69105301501300</v>
      </c>
      <c r="B192" s="455" t="str">
        <f>VLOOKUP(LEFT($C$3:$C$2600,3),Table!$N$2:$O$88,2,FALSE)</f>
        <v>Selling &amp; admin expenses</v>
      </c>
      <c r="C192" s="535" t="str">
        <f t="shared" si="5"/>
        <v>5301501300</v>
      </c>
      <c r="D192" s="455" t="e">
        <f>VLOOKUP(G192,Table!$Q$3:$R$21,2,FALSE)</f>
        <v>#N/A</v>
      </c>
      <c r="E192" s="452" t="s">
        <v>902</v>
      </c>
      <c r="F192" s="452" t="s">
        <v>2283</v>
      </c>
      <c r="G192" s="452" t="s">
        <v>2288</v>
      </c>
      <c r="H192" s="452" t="s">
        <v>2289</v>
      </c>
      <c r="I192" s="453" t="s">
        <v>844</v>
      </c>
      <c r="J192" s="453">
        <v>841</v>
      </c>
      <c r="K192" s="461">
        <v>120</v>
      </c>
      <c r="L192" s="461">
        <v>601</v>
      </c>
      <c r="M192" s="461">
        <v>183</v>
      </c>
      <c r="N192" s="461">
        <v>0</v>
      </c>
      <c r="O192" s="461">
        <v>0</v>
      </c>
      <c r="P192" s="461">
        <v>0</v>
      </c>
      <c r="Q192" s="461">
        <v>0</v>
      </c>
      <c r="R192" s="461">
        <v>0</v>
      </c>
      <c r="S192" s="461">
        <v>0</v>
      </c>
      <c r="T192" s="461">
        <v>0</v>
      </c>
      <c r="U192" s="461">
        <v>0</v>
      </c>
      <c r="V192" s="461">
        <v>0</v>
      </c>
    </row>
    <row r="193" spans="1:22" s="455" customFormat="1" ht="12.75" hidden="1" customHeight="1">
      <c r="A193" s="455" t="str">
        <f t="shared" si="4"/>
        <v>69105301601000</v>
      </c>
      <c r="B193" s="455" t="str">
        <f>VLOOKUP(LEFT($C$3:$C$2600,3),Table!$N$2:$O$88,2,FALSE)</f>
        <v>Selling &amp; admin expenses</v>
      </c>
      <c r="C193" s="535" t="str">
        <f t="shared" si="5"/>
        <v>5301601000</v>
      </c>
      <c r="D193" s="455" t="e">
        <f>VLOOKUP(G193,Table!$Q$3:$R$21,2,FALSE)</f>
        <v>#N/A</v>
      </c>
      <c r="E193" s="452" t="s">
        <v>902</v>
      </c>
      <c r="F193" s="452" t="s">
        <v>2283</v>
      </c>
      <c r="G193" s="452" t="s">
        <v>1524</v>
      </c>
      <c r="H193" s="452" t="s">
        <v>2618</v>
      </c>
      <c r="I193" s="453" t="s">
        <v>844</v>
      </c>
      <c r="J193" s="453">
        <v>1008.35</v>
      </c>
      <c r="K193" s="461">
        <v>1008.35</v>
      </c>
      <c r="L193" s="461">
        <v>0</v>
      </c>
      <c r="M193" s="461">
        <v>31.8</v>
      </c>
      <c r="N193" s="461">
        <v>0</v>
      </c>
      <c r="O193" s="461">
        <v>0</v>
      </c>
      <c r="P193" s="461">
        <v>0</v>
      </c>
      <c r="Q193" s="461">
        <v>0</v>
      </c>
      <c r="R193" s="461">
        <v>0</v>
      </c>
      <c r="S193" s="461">
        <v>0</v>
      </c>
      <c r="T193" s="461">
        <v>0</v>
      </c>
      <c r="U193" s="461">
        <v>0</v>
      </c>
      <c r="V193" s="461">
        <v>0</v>
      </c>
    </row>
    <row r="194" spans="1:22" s="455" customFormat="1" ht="12.75" hidden="1" customHeight="1">
      <c r="A194" s="455" t="str">
        <f t="shared" si="4"/>
        <v>69105301601001</v>
      </c>
      <c r="B194" s="455" t="str">
        <f>VLOOKUP(LEFT($C$3:$C$2600,3),Table!$N$2:$O$88,2,FALSE)</f>
        <v>Selling &amp; admin expenses</v>
      </c>
      <c r="C194" s="535" t="str">
        <f t="shared" si="5"/>
        <v>5301601001</v>
      </c>
      <c r="D194" s="455" t="e">
        <f>VLOOKUP(G194,Table!$Q$3:$R$21,2,FALSE)</f>
        <v>#N/A</v>
      </c>
      <c r="E194" s="452" t="s">
        <v>902</v>
      </c>
      <c r="F194" s="452" t="s">
        <v>2283</v>
      </c>
      <c r="G194" s="452" t="s">
        <v>1525</v>
      </c>
      <c r="H194" s="452" t="s">
        <v>2615</v>
      </c>
      <c r="I194" s="453" t="s">
        <v>844</v>
      </c>
      <c r="J194" s="453">
        <v>137.65</v>
      </c>
      <c r="K194" s="461">
        <v>0</v>
      </c>
      <c r="L194" s="461">
        <v>120</v>
      </c>
      <c r="M194" s="461">
        <v>118.69</v>
      </c>
      <c r="N194" s="461">
        <v>0</v>
      </c>
      <c r="O194" s="461">
        <v>0</v>
      </c>
      <c r="P194" s="461">
        <v>0</v>
      </c>
      <c r="Q194" s="461">
        <v>0</v>
      </c>
      <c r="R194" s="461">
        <v>0</v>
      </c>
      <c r="S194" s="461">
        <v>0</v>
      </c>
      <c r="T194" s="461">
        <v>0</v>
      </c>
      <c r="U194" s="461">
        <v>0</v>
      </c>
      <c r="V194" s="461">
        <v>0</v>
      </c>
    </row>
    <row r="195" spans="1:22" s="455" customFormat="1" ht="12.75" hidden="1" customHeight="1">
      <c r="A195" s="455" t="str">
        <f t="shared" si="4"/>
        <v>69105301601100</v>
      </c>
      <c r="B195" s="455" t="str">
        <f>VLOOKUP(LEFT($C$3:$C$2600,3),Table!$N$2:$O$88,2,FALSE)</f>
        <v>Selling &amp; admin expenses</v>
      </c>
      <c r="C195" s="535" t="str">
        <f t="shared" si="5"/>
        <v>5301601100</v>
      </c>
      <c r="D195" s="455" t="e">
        <f>VLOOKUP(G195,Table!$Q$3:$R$21,2,FALSE)</f>
        <v>#N/A</v>
      </c>
      <c r="E195" s="452" t="s">
        <v>902</v>
      </c>
      <c r="F195" s="452" t="s">
        <v>2283</v>
      </c>
      <c r="G195" s="452" t="s">
        <v>1579</v>
      </c>
      <c r="H195" s="452" t="s">
        <v>2619</v>
      </c>
      <c r="I195" s="453" t="s">
        <v>844</v>
      </c>
      <c r="J195" s="453">
        <v>289.55</v>
      </c>
      <c r="K195" s="461">
        <v>0</v>
      </c>
      <c r="L195" s="461">
        <v>0</v>
      </c>
      <c r="M195" s="461">
        <v>289.55</v>
      </c>
      <c r="N195" s="461">
        <v>0</v>
      </c>
      <c r="O195" s="461">
        <v>0</v>
      </c>
      <c r="P195" s="461">
        <v>0</v>
      </c>
      <c r="Q195" s="461">
        <v>0</v>
      </c>
      <c r="R195" s="461">
        <v>0</v>
      </c>
      <c r="S195" s="461">
        <v>0</v>
      </c>
      <c r="T195" s="461">
        <v>0</v>
      </c>
      <c r="U195" s="461">
        <v>0</v>
      </c>
      <c r="V195" s="461">
        <v>0</v>
      </c>
    </row>
    <row r="196" spans="1:22" s="455" customFormat="1" ht="12.75" hidden="1" customHeight="1">
      <c r="A196" s="455" t="str">
        <f t="shared" ref="A196:A241" si="6">F196&amp;G196</f>
        <v>69105301601101</v>
      </c>
      <c r="B196" s="455" t="str">
        <f>VLOOKUP(LEFT($C$3:$C$2600,3),Table!$N$2:$O$88,2,FALSE)</f>
        <v>Selling &amp; admin expenses</v>
      </c>
      <c r="C196" s="535" t="str">
        <f t="shared" ref="C196:C241" si="7">IF(ISNA(D196),G196,D196)</f>
        <v>5301601101</v>
      </c>
      <c r="D196" s="455" t="e">
        <f>VLOOKUP(G196,Table!$Q$3:$R$21,2,FALSE)</f>
        <v>#N/A</v>
      </c>
      <c r="E196" s="452" t="s">
        <v>902</v>
      </c>
      <c r="F196" s="452" t="s">
        <v>2283</v>
      </c>
      <c r="G196" s="452" t="s">
        <v>2620</v>
      </c>
      <c r="H196" s="452" t="s">
        <v>2617</v>
      </c>
      <c r="I196" s="453" t="s">
        <v>844</v>
      </c>
      <c r="J196" s="453">
        <v>632.51</v>
      </c>
      <c r="K196" s="461">
        <v>0</v>
      </c>
      <c r="L196" s="461">
        <v>366.58</v>
      </c>
      <c r="M196" s="461">
        <v>265.93</v>
      </c>
      <c r="N196" s="461">
        <v>0</v>
      </c>
      <c r="O196" s="461">
        <v>0</v>
      </c>
      <c r="P196" s="461">
        <v>0</v>
      </c>
      <c r="Q196" s="461">
        <v>0</v>
      </c>
      <c r="R196" s="461">
        <v>0</v>
      </c>
      <c r="S196" s="461">
        <v>0</v>
      </c>
      <c r="T196" s="461">
        <v>0</v>
      </c>
      <c r="U196" s="461">
        <v>0</v>
      </c>
      <c r="V196" s="461">
        <v>0</v>
      </c>
    </row>
    <row r="197" spans="1:22" s="455" customFormat="1" ht="12.75" hidden="1" customHeight="1">
      <c r="A197" s="455" t="str">
        <f t="shared" si="6"/>
        <v>69105301700000</v>
      </c>
      <c r="B197" s="455" t="str">
        <f>VLOOKUP(LEFT($C$3:$C$2600,3),Table!$N$2:$O$88,2,FALSE)</f>
        <v>Selling &amp; admin expenses</v>
      </c>
      <c r="C197" s="535" t="str">
        <f t="shared" si="7"/>
        <v>5301700000</v>
      </c>
      <c r="D197" s="455" t="e">
        <f>VLOOKUP(G197,Table!$Q$3:$R$21,2,FALSE)</f>
        <v>#N/A</v>
      </c>
      <c r="E197" s="452" t="s">
        <v>902</v>
      </c>
      <c r="F197" s="452" t="s">
        <v>2283</v>
      </c>
      <c r="G197" s="452" t="s">
        <v>2290</v>
      </c>
      <c r="H197" s="452" t="s">
        <v>2291</v>
      </c>
      <c r="I197" s="453" t="s">
        <v>844</v>
      </c>
      <c r="J197" s="453">
        <v>1617.19</v>
      </c>
      <c r="K197" s="461">
        <v>1106.28</v>
      </c>
      <c r="L197" s="461">
        <v>857.67</v>
      </c>
      <c r="M197" s="461">
        <v>1412.86</v>
      </c>
      <c r="N197" s="461">
        <v>0</v>
      </c>
      <c r="O197" s="461">
        <v>0</v>
      </c>
      <c r="P197" s="461">
        <v>0</v>
      </c>
      <c r="Q197" s="461">
        <v>0</v>
      </c>
      <c r="R197" s="461">
        <v>0</v>
      </c>
      <c r="S197" s="461">
        <v>0</v>
      </c>
      <c r="T197" s="461">
        <v>0</v>
      </c>
      <c r="U197" s="461">
        <v>0</v>
      </c>
      <c r="V197" s="461">
        <v>0</v>
      </c>
    </row>
    <row r="198" spans="1:22" s="455" customFormat="1" ht="12.75" hidden="1" customHeight="1">
      <c r="A198" s="455" t="str">
        <f t="shared" si="6"/>
        <v>69105301801000</v>
      </c>
      <c r="B198" s="455" t="str">
        <f>VLOOKUP(LEFT($C$3:$C$2600,3),Table!$N$2:$O$88,2,FALSE)</f>
        <v>Selling &amp; admin expenses</v>
      </c>
      <c r="C198" s="535" t="str">
        <f t="shared" si="7"/>
        <v>5301801000</v>
      </c>
      <c r="D198" s="455" t="e">
        <f>VLOOKUP(G198,Table!$Q$3:$R$21,2,FALSE)</f>
        <v>#N/A</v>
      </c>
      <c r="E198" s="452" t="s">
        <v>902</v>
      </c>
      <c r="F198" s="452" t="s">
        <v>2283</v>
      </c>
      <c r="G198" s="452" t="s">
        <v>1626</v>
      </c>
      <c r="H198" s="452" t="s">
        <v>2292</v>
      </c>
      <c r="I198" s="453" t="s">
        <v>844</v>
      </c>
      <c r="J198" s="453">
        <v>221.7</v>
      </c>
      <c r="K198" s="461">
        <v>4.45</v>
      </c>
      <c r="L198" s="461">
        <v>5.75</v>
      </c>
      <c r="M198" s="461">
        <v>211.5</v>
      </c>
      <c r="N198" s="461">
        <v>0</v>
      </c>
      <c r="O198" s="461">
        <v>0</v>
      </c>
      <c r="P198" s="461">
        <v>0</v>
      </c>
      <c r="Q198" s="461">
        <v>0</v>
      </c>
      <c r="R198" s="461">
        <v>0</v>
      </c>
      <c r="S198" s="461">
        <v>0</v>
      </c>
      <c r="T198" s="461">
        <v>0</v>
      </c>
      <c r="U198" s="461">
        <v>0</v>
      </c>
      <c r="V198" s="461">
        <v>0</v>
      </c>
    </row>
    <row r="199" spans="1:22" s="455" customFormat="1" ht="12.75" hidden="1" customHeight="1">
      <c r="A199" s="455" t="str">
        <f t="shared" si="6"/>
        <v>69105301801100</v>
      </c>
      <c r="B199" s="455" t="str">
        <f>VLOOKUP(LEFT($C$3:$C$2600,3),Table!$N$2:$O$88,2,FALSE)</f>
        <v>Selling &amp; admin expenses</v>
      </c>
      <c r="C199" s="535" t="str">
        <f t="shared" si="7"/>
        <v>5301801100</v>
      </c>
      <c r="D199" s="455" t="e">
        <f>VLOOKUP(G199,Table!$Q$3:$R$21,2,FALSE)</f>
        <v>#N/A</v>
      </c>
      <c r="E199" s="452" t="s">
        <v>902</v>
      </c>
      <c r="F199" s="452" t="s">
        <v>2283</v>
      </c>
      <c r="G199" s="452" t="s">
        <v>1526</v>
      </c>
      <c r="H199" s="452" t="s">
        <v>2293</v>
      </c>
      <c r="I199" s="453" t="s">
        <v>844</v>
      </c>
      <c r="J199" s="453">
        <v>610.04999999999995</v>
      </c>
      <c r="K199" s="461">
        <v>610.04999999999995</v>
      </c>
      <c r="L199" s="461">
        <v>0</v>
      </c>
      <c r="M199" s="461">
        <v>0</v>
      </c>
      <c r="N199" s="461">
        <v>0</v>
      </c>
      <c r="O199" s="461">
        <v>0</v>
      </c>
      <c r="P199" s="461">
        <v>0</v>
      </c>
      <c r="Q199" s="461">
        <v>0</v>
      </c>
      <c r="R199" s="461">
        <v>0</v>
      </c>
      <c r="S199" s="461">
        <v>0</v>
      </c>
      <c r="T199" s="461">
        <v>0</v>
      </c>
      <c r="U199" s="461">
        <v>0</v>
      </c>
      <c r="V199" s="461">
        <v>0</v>
      </c>
    </row>
    <row r="200" spans="1:22" s="455" customFormat="1" ht="12.75" hidden="1" customHeight="1">
      <c r="A200" s="455" t="str">
        <f t="shared" si="6"/>
        <v>69105301801300</v>
      </c>
      <c r="B200" s="455" t="str">
        <f>VLOOKUP(LEFT($C$3:$C$2600,3),Table!$N$2:$O$88,2,FALSE)</f>
        <v>Selling &amp; admin expenses</v>
      </c>
      <c r="C200" s="535" t="str">
        <f t="shared" si="7"/>
        <v>5301801300</v>
      </c>
      <c r="D200" s="455" t="e">
        <f>VLOOKUP(G200,Table!$Q$3:$R$21,2,FALSE)</f>
        <v>#N/A</v>
      </c>
      <c r="E200" s="452" t="s">
        <v>902</v>
      </c>
      <c r="F200" s="452" t="s">
        <v>2283</v>
      </c>
      <c r="G200" s="452" t="s">
        <v>1528</v>
      </c>
      <c r="H200" s="452" t="s">
        <v>2294</v>
      </c>
      <c r="I200" s="453" t="s">
        <v>844</v>
      </c>
      <c r="J200" s="453">
        <v>598.16</v>
      </c>
      <c r="K200" s="461">
        <v>0</v>
      </c>
      <c r="L200" s="461">
        <v>598.16</v>
      </c>
      <c r="M200" s="461">
        <v>0</v>
      </c>
      <c r="N200" s="461">
        <v>0</v>
      </c>
      <c r="O200" s="461">
        <v>0</v>
      </c>
      <c r="P200" s="461">
        <v>0</v>
      </c>
      <c r="Q200" s="461">
        <v>0</v>
      </c>
      <c r="R200" s="461">
        <v>0</v>
      </c>
      <c r="S200" s="461">
        <v>0</v>
      </c>
      <c r="T200" s="461">
        <v>0</v>
      </c>
      <c r="U200" s="461">
        <v>0</v>
      </c>
      <c r="V200" s="461">
        <v>0</v>
      </c>
    </row>
    <row r="201" spans="1:22" s="455" customFormat="1" ht="12.75" hidden="1" customHeight="1">
      <c r="A201" s="455" t="str">
        <f t="shared" si="6"/>
        <v>69105301801400</v>
      </c>
      <c r="B201" s="455" t="str">
        <f>VLOOKUP(LEFT($C$3:$C$2600,3),Table!$N$2:$O$88,2,FALSE)</f>
        <v>Selling &amp; admin expenses</v>
      </c>
      <c r="C201" s="535" t="str">
        <f t="shared" si="7"/>
        <v>5301801400</v>
      </c>
      <c r="D201" s="455" t="e">
        <f>VLOOKUP(G201,Table!$Q$3:$R$21,2,FALSE)</f>
        <v>#N/A</v>
      </c>
      <c r="E201" s="452" t="s">
        <v>902</v>
      </c>
      <c r="F201" s="452" t="s">
        <v>2283</v>
      </c>
      <c r="G201" s="452" t="s">
        <v>2295</v>
      </c>
      <c r="H201" s="452" t="s">
        <v>2296</v>
      </c>
      <c r="I201" s="453" t="s">
        <v>844</v>
      </c>
      <c r="J201" s="453">
        <v>5959.81</v>
      </c>
      <c r="K201" s="461">
        <v>2904.31</v>
      </c>
      <c r="L201" s="461">
        <v>1982.5</v>
      </c>
      <c r="M201" s="461">
        <v>2073</v>
      </c>
      <c r="N201" s="461">
        <v>0</v>
      </c>
      <c r="O201" s="461">
        <v>0</v>
      </c>
      <c r="P201" s="461">
        <v>0</v>
      </c>
      <c r="Q201" s="461">
        <v>0</v>
      </c>
      <c r="R201" s="461">
        <v>0</v>
      </c>
      <c r="S201" s="461">
        <v>0</v>
      </c>
      <c r="T201" s="461">
        <v>0</v>
      </c>
      <c r="U201" s="461">
        <v>0</v>
      </c>
      <c r="V201" s="461">
        <v>0</v>
      </c>
    </row>
    <row r="202" spans="1:22" s="455" customFormat="1" ht="12.75" hidden="1" customHeight="1">
      <c r="A202" s="455" t="str">
        <f t="shared" si="6"/>
        <v>69105301801500</v>
      </c>
      <c r="B202" s="455" t="str">
        <f>VLOOKUP(LEFT($C$3:$C$2600,3),Table!$N$2:$O$88,2,FALSE)</f>
        <v>Selling &amp; admin expenses</v>
      </c>
      <c r="C202" s="535" t="str">
        <f t="shared" si="7"/>
        <v>5301801500</v>
      </c>
      <c r="D202" s="455" t="e">
        <f>VLOOKUP(G202,Table!$Q$3:$R$21,2,FALSE)</f>
        <v>#N/A</v>
      </c>
      <c r="E202" s="452" t="s">
        <v>902</v>
      </c>
      <c r="F202" s="452" t="s">
        <v>2283</v>
      </c>
      <c r="G202" s="452" t="s">
        <v>1552</v>
      </c>
      <c r="H202" s="452" t="s">
        <v>2297</v>
      </c>
      <c r="I202" s="453" t="s">
        <v>844</v>
      </c>
      <c r="J202" s="453">
        <v>3609.53</v>
      </c>
      <c r="K202" s="461">
        <v>883.29</v>
      </c>
      <c r="L202" s="461">
        <v>1094.03</v>
      </c>
      <c r="M202" s="461">
        <v>1420.44</v>
      </c>
      <c r="N202" s="461">
        <v>0</v>
      </c>
      <c r="O202" s="461">
        <v>0</v>
      </c>
      <c r="P202" s="461">
        <v>0</v>
      </c>
      <c r="Q202" s="461">
        <v>0</v>
      </c>
      <c r="R202" s="461">
        <v>0</v>
      </c>
      <c r="S202" s="461">
        <v>0</v>
      </c>
      <c r="T202" s="461">
        <v>0</v>
      </c>
      <c r="U202" s="461">
        <v>0</v>
      </c>
      <c r="V202" s="461">
        <v>0</v>
      </c>
    </row>
    <row r="203" spans="1:22" s="455" customFormat="1" ht="12.75" hidden="1" customHeight="1">
      <c r="A203" s="455" t="str">
        <f t="shared" si="6"/>
        <v>69105302201100</v>
      </c>
      <c r="B203" s="455" t="str">
        <f>VLOOKUP(LEFT($C$3:$C$2600,3),Table!$N$2:$O$88,2,FALSE)</f>
        <v>Selling &amp; admin expenses</v>
      </c>
      <c r="C203" s="535" t="str">
        <f t="shared" si="7"/>
        <v>5302201100</v>
      </c>
      <c r="D203" s="455" t="e">
        <f>VLOOKUP(G203,Table!$Q$3:$R$21,2,FALSE)</f>
        <v>#N/A</v>
      </c>
      <c r="E203" s="452" t="s">
        <v>902</v>
      </c>
      <c r="F203" s="452" t="s">
        <v>2283</v>
      </c>
      <c r="G203" s="452" t="s">
        <v>1532</v>
      </c>
      <c r="H203" s="452" t="s">
        <v>2298</v>
      </c>
      <c r="I203" s="453" t="s">
        <v>844</v>
      </c>
      <c r="J203" s="453">
        <v>1240.8499999999999</v>
      </c>
      <c r="K203" s="461">
        <v>980.85</v>
      </c>
      <c r="L203" s="461">
        <v>130</v>
      </c>
      <c r="M203" s="461">
        <v>130</v>
      </c>
      <c r="N203" s="461">
        <v>0</v>
      </c>
      <c r="O203" s="461">
        <v>0</v>
      </c>
      <c r="P203" s="461">
        <v>0</v>
      </c>
      <c r="Q203" s="461">
        <v>0</v>
      </c>
      <c r="R203" s="461">
        <v>0</v>
      </c>
      <c r="S203" s="461">
        <v>0</v>
      </c>
      <c r="T203" s="461">
        <v>0</v>
      </c>
      <c r="U203" s="461">
        <v>0</v>
      </c>
      <c r="V203" s="461">
        <v>0</v>
      </c>
    </row>
    <row r="204" spans="1:22" s="455" customFormat="1" ht="12.75" hidden="1" customHeight="1">
      <c r="A204" s="455" t="str">
        <f t="shared" si="6"/>
        <v>69105302301000</v>
      </c>
      <c r="B204" s="455" t="str">
        <f>VLOOKUP(LEFT($C$3:$C$2600,3),Table!$N$2:$O$88,2,FALSE)</f>
        <v>Selling &amp; admin expenses</v>
      </c>
      <c r="C204" s="535" t="str">
        <f t="shared" si="7"/>
        <v>5302301000</v>
      </c>
      <c r="D204" s="455" t="e">
        <f>VLOOKUP(G204,Table!$Q$3:$R$21,2,FALSE)</f>
        <v>#N/A</v>
      </c>
      <c r="E204" s="452" t="s">
        <v>902</v>
      </c>
      <c r="F204" s="452" t="s">
        <v>2283</v>
      </c>
      <c r="G204" s="452" t="s">
        <v>1596</v>
      </c>
      <c r="H204" s="452" t="s">
        <v>1476</v>
      </c>
      <c r="I204" s="453" t="s">
        <v>844</v>
      </c>
      <c r="J204" s="453">
        <v>155</v>
      </c>
      <c r="K204" s="461">
        <v>0</v>
      </c>
      <c r="L204" s="461">
        <v>200</v>
      </c>
      <c r="M204" s="461">
        <v>512.6</v>
      </c>
      <c r="N204" s="461">
        <v>0</v>
      </c>
      <c r="O204" s="461">
        <v>0</v>
      </c>
      <c r="P204" s="461">
        <v>0</v>
      </c>
      <c r="Q204" s="461">
        <v>0</v>
      </c>
      <c r="R204" s="461">
        <v>0</v>
      </c>
      <c r="S204" s="461">
        <v>0</v>
      </c>
      <c r="T204" s="461">
        <v>0</v>
      </c>
      <c r="U204" s="461">
        <v>0</v>
      </c>
      <c r="V204" s="461">
        <v>0</v>
      </c>
    </row>
    <row r="205" spans="1:22" s="455" customFormat="1" ht="12.75" hidden="1" customHeight="1">
      <c r="A205" s="455" t="str">
        <f t="shared" si="6"/>
        <v>69105302301100</v>
      </c>
      <c r="B205" s="455" t="str">
        <f>VLOOKUP(LEFT($C$3:$C$2600,3),Table!$N$2:$O$88,2,FALSE)</f>
        <v>Selling &amp; admin expenses</v>
      </c>
      <c r="C205" s="535" t="str">
        <f t="shared" si="7"/>
        <v>5302301100</v>
      </c>
      <c r="D205" s="455" t="e">
        <f>VLOOKUP(G205,Table!$Q$3:$R$21,2,FALSE)</f>
        <v>#N/A</v>
      </c>
      <c r="E205" s="452" t="s">
        <v>902</v>
      </c>
      <c r="F205" s="452" t="s">
        <v>2283</v>
      </c>
      <c r="G205" s="452" t="s">
        <v>1469</v>
      </c>
      <c r="H205" s="452" t="s">
        <v>1478</v>
      </c>
      <c r="I205" s="453" t="s">
        <v>844</v>
      </c>
      <c r="J205" s="453">
        <v>485</v>
      </c>
      <c r="K205" s="461">
        <v>200</v>
      </c>
      <c r="L205" s="461">
        <v>-110</v>
      </c>
      <c r="M205" s="461">
        <v>395</v>
      </c>
      <c r="N205" s="461">
        <v>0</v>
      </c>
      <c r="O205" s="461">
        <v>0</v>
      </c>
      <c r="P205" s="461">
        <v>0</v>
      </c>
      <c r="Q205" s="461">
        <v>0</v>
      </c>
      <c r="R205" s="461">
        <v>0</v>
      </c>
      <c r="S205" s="461">
        <v>0</v>
      </c>
      <c r="T205" s="461">
        <v>0</v>
      </c>
      <c r="U205" s="461">
        <v>0</v>
      </c>
      <c r="V205" s="461">
        <v>0</v>
      </c>
    </row>
    <row r="206" spans="1:22" s="455" customFormat="1" ht="12.75" hidden="1" customHeight="1">
      <c r="A206" s="455" t="str">
        <f t="shared" si="6"/>
        <v>69105302401300</v>
      </c>
      <c r="B206" s="455" t="str">
        <f>VLOOKUP(LEFT($C$3:$C$2600,3),Table!$N$2:$O$88,2,FALSE)</f>
        <v>Selling &amp; admin expenses</v>
      </c>
      <c r="C206" s="535" t="str">
        <f t="shared" si="7"/>
        <v>5302401300</v>
      </c>
      <c r="D206" s="455" t="e">
        <f>VLOOKUP(G206,Table!$Q$3:$R$21,2,FALSE)</f>
        <v>#N/A</v>
      </c>
      <c r="E206" s="452" t="s">
        <v>902</v>
      </c>
      <c r="F206" s="452" t="s">
        <v>2283</v>
      </c>
      <c r="G206" s="452" t="s">
        <v>2299</v>
      </c>
      <c r="H206" s="452" t="s">
        <v>1967</v>
      </c>
      <c r="I206" s="453" t="s">
        <v>844</v>
      </c>
      <c r="J206" s="453">
        <v>293.39999999999998</v>
      </c>
      <c r="K206" s="461">
        <v>93</v>
      </c>
      <c r="L206" s="461">
        <v>72.7</v>
      </c>
      <c r="M206" s="461">
        <v>127.7</v>
      </c>
      <c r="N206" s="461">
        <v>0</v>
      </c>
      <c r="O206" s="461">
        <v>0</v>
      </c>
      <c r="P206" s="461">
        <v>0</v>
      </c>
      <c r="Q206" s="461">
        <v>0</v>
      </c>
      <c r="R206" s="461">
        <v>0</v>
      </c>
      <c r="S206" s="461">
        <v>0</v>
      </c>
      <c r="T206" s="461">
        <v>0</v>
      </c>
      <c r="U206" s="461">
        <v>0</v>
      </c>
      <c r="V206" s="461">
        <v>0</v>
      </c>
    </row>
    <row r="207" spans="1:22" s="455" customFormat="1" ht="12.75" hidden="1" customHeight="1">
      <c r="A207" s="455" t="str">
        <f t="shared" si="6"/>
        <v>69105302500100</v>
      </c>
      <c r="B207" s="455" t="str">
        <f>VLOOKUP(LEFT($C$3:$C$2600,3),Table!$N$2:$O$88,2,FALSE)</f>
        <v>Selling &amp; admin expenses</v>
      </c>
      <c r="C207" s="535" t="str">
        <f t="shared" si="7"/>
        <v>5302500100</v>
      </c>
      <c r="D207" s="455" t="e">
        <f>VLOOKUP(G207,Table!$Q$3:$R$21,2,FALSE)</f>
        <v>#N/A</v>
      </c>
      <c r="E207" s="452" t="s">
        <v>902</v>
      </c>
      <c r="F207" s="452" t="s">
        <v>2283</v>
      </c>
      <c r="G207" s="452" t="s">
        <v>2300</v>
      </c>
      <c r="H207" s="452" t="s">
        <v>2301</v>
      </c>
      <c r="I207" s="453" t="s">
        <v>844</v>
      </c>
      <c r="J207" s="453">
        <v>62000</v>
      </c>
      <c r="K207" s="461">
        <v>0</v>
      </c>
      <c r="L207" s="461">
        <v>62000</v>
      </c>
      <c r="M207" s="461">
        <v>0</v>
      </c>
      <c r="N207" s="461">
        <v>0</v>
      </c>
      <c r="O207" s="461">
        <v>0</v>
      </c>
      <c r="P207" s="461">
        <v>0</v>
      </c>
      <c r="Q207" s="461">
        <v>0</v>
      </c>
      <c r="R207" s="461">
        <v>0</v>
      </c>
      <c r="S207" s="461">
        <v>0</v>
      </c>
      <c r="T207" s="461">
        <v>0</v>
      </c>
      <c r="U207" s="461">
        <v>0</v>
      </c>
      <c r="V207" s="461">
        <v>0</v>
      </c>
    </row>
    <row r="208" spans="1:22" s="455" customFormat="1" ht="12.75" hidden="1" customHeight="1">
      <c r="A208" s="455" t="str">
        <f t="shared" si="6"/>
        <v>69105302501200</v>
      </c>
      <c r="B208" s="455" t="str">
        <f>VLOOKUP(LEFT($C$3:$C$2600,3),Table!$N$2:$O$88,2,FALSE)</f>
        <v>Selling &amp; admin expenses</v>
      </c>
      <c r="C208" s="535" t="str">
        <f t="shared" si="7"/>
        <v>5302501200</v>
      </c>
      <c r="D208" s="455" t="e">
        <f>VLOOKUP(G208,Table!$Q$3:$R$21,2,FALSE)</f>
        <v>#N/A</v>
      </c>
      <c r="E208" s="452" t="s">
        <v>902</v>
      </c>
      <c r="F208" s="452" t="s">
        <v>2283</v>
      </c>
      <c r="G208" s="452" t="s">
        <v>1497</v>
      </c>
      <c r="H208" s="452" t="s">
        <v>2302</v>
      </c>
      <c r="I208" s="453" t="s">
        <v>844</v>
      </c>
      <c r="J208" s="453">
        <v>1482</v>
      </c>
      <c r="K208" s="461">
        <v>494</v>
      </c>
      <c r="L208" s="461">
        <v>494</v>
      </c>
      <c r="M208" s="461">
        <v>494</v>
      </c>
      <c r="N208" s="461">
        <v>0</v>
      </c>
      <c r="O208" s="461">
        <v>0</v>
      </c>
      <c r="P208" s="461">
        <v>0</v>
      </c>
      <c r="Q208" s="461">
        <v>0</v>
      </c>
      <c r="R208" s="461">
        <v>0</v>
      </c>
      <c r="S208" s="461">
        <v>0</v>
      </c>
      <c r="T208" s="461">
        <v>0</v>
      </c>
      <c r="U208" s="461">
        <v>0</v>
      </c>
      <c r="V208" s="461">
        <v>0</v>
      </c>
    </row>
    <row r="209" spans="1:22" s="455" customFormat="1" ht="12.75" hidden="1" customHeight="1">
      <c r="A209" s="455" t="str">
        <f t="shared" si="6"/>
        <v>69105302501500</v>
      </c>
      <c r="B209" s="455" t="str">
        <f>VLOOKUP(LEFT($C$3:$C$2600,3),Table!$N$2:$O$88,2,FALSE)</f>
        <v>Selling &amp; admin expenses</v>
      </c>
      <c r="C209" s="535" t="str">
        <f t="shared" si="7"/>
        <v>5302501500</v>
      </c>
      <c r="D209" s="455" t="e">
        <f>VLOOKUP(G209,Table!$Q$3:$R$21,2,FALSE)</f>
        <v>#N/A</v>
      </c>
      <c r="E209" s="452" t="s">
        <v>902</v>
      </c>
      <c r="F209" s="452" t="s">
        <v>2283</v>
      </c>
      <c r="G209" s="452" t="s">
        <v>2303</v>
      </c>
      <c r="H209" s="452" t="s">
        <v>2304</v>
      </c>
      <c r="I209" s="453" t="s">
        <v>844</v>
      </c>
      <c r="J209" s="453">
        <v>1378.32</v>
      </c>
      <c r="K209" s="461">
        <v>387.96</v>
      </c>
      <c r="L209" s="461">
        <v>390.36</v>
      </c>
      <c r="M209" s="461">
        <v>387.96</v>
      </c>
      <c r="N209" s="461">
        <v>0</v>
      </c>
      <c r="O209" s="461">
        <v>0</v>
      </c>
      <c r="P209" s="461">
        <v>0</v>
      </c>
      <c r="Q209" s="461">
        <v>0</v>
      </c>
      <c r="R209" s="461">
        <v>0</v>
      </c>
      <c r="S209" s="461">
        <v>0</v>
      </c>
      <c r="T209" s="461">
        <v>0</v>
      </c>
      <c r="U209" s="461">
        <v>0</v>
      </c>
      <c r="V209" s="461">
        <v>0</v>
      </c>
    </row>
    <row r="210" spans="1:22" s="455" customFormat="1" ht="12.75" hidden="1" customHeight="1">
      <c r="A210" s="455" t="str">
        <f t="shared" si="6"/>
        <v>69105302501600</v>
      </c>
      <c r="B210" s="455" t="str">
        <f>VLOOKUP(LEFT($C$3:$C$2600,3),Table!$N$2:$O$88,2,FALSE)</f>
        <v>Selling &amp; admin expenses</v>
      </c>
      <c r="C210" s="535" t="str">
        <f t="shared" si="7"/>
        <v>5302501600</v>
      </c>
      <c r="D210" s="455" t="e">
        <f>VLOOKUP(G210,Table!$Q$3:$R$21,2,FALSE)</f>
        <v>#N/A</v>
      </c>
      <c r="E210" s="452" t="s">
        <v>902</v>
      </c>
      <c r="F210" s="452" t="s">
        <v>2283</v>
      </c>
      <c r="G210" s="452" t="s">
        <v>2305</v>
      </c>
      <c r="H210" s="452" t="s">
        <v>2306</v>
      </c>
      <c r="I210" s="453" t="s">
        <v>844</v>
      </c>
      <c r="J210" s="453">
        <v>2000</v>
      </c>
      <c r="K210" s="461">
        <v>1000</v>
      </c>
      <c r="L210" s="461">
        <v>500</v>
      </c>
      <c r="M210" s="461">
        <v>500</v>
      </c>
      <c r="N210" s="461">
        <v>0</v>
      </c>
      <c r="O210" s="461">
        <v>0</v>
      </c>
      <c r="P210" s="461">
        <v>0</v>
      </c>
      <c r="Q210" s="461">
        <v>0</v>
      </c>
      <c r="R210" s="461">
        <v>0</v>
      </c>
      <c r="S210" s="461">
        <v>0</v>
      </c>
      <c r="T210" s="461">
        <v>0</v>
      </c>
      <c r="U210" s="461">
        <v>0</v>
      </c>
      <c r="V210" s="461">
        <v>0</v>
      </c>
    </row>
    <row r="211" spans="1:22" s="455" customFormat="1" ht="12.75" hidden="1" customHeight="1">
      <c r="A211" s="455" t="str">
        <f t="shared" si="6"/>
        <v>69105302600000</v>
      </c>
      <c r="B211" s="455" t="str">
        <f>VLOOKUP(LEFT($C$3:$C$2600,3),Table!$N$2:$O$88,2,FALSE)</f>
        <v>Selling &amp; admin expenses</v>
      </c>
      <c r="C211" s="535" t="str">
        <f t="shared" si="7"/>
        <v>5302600000</v>
      </c>
      <c r="D211" s="455" t="e">
        <f>VLOOKUP(G211,Table!$Q$3:$R$21,2,FALSE)</f>
        <v>#N/A</v>
      </c>
      <c r="E211" s="452" t="s">
        <v>902</v>
      </c>
      <c r="F211" s="452" t="s">
        <v>2283</v>
      </c>
      <c r="G211" s="452" t="s">
        <v>1558</v>
      </c>
      <c r="H211" s="452" t="s">
        <v>1969</v>
      </c>
      <c r="I211" s="453" t="s">
        <v>844</v>
      </c>
      <c r="J211" s="453">
        <v>52155.87</v>
      </c>
      <c r="K211" s="461">
        <v>16836.11</v>
      </c>
      <c r="L211" s="461">
        <v>16203.82</v>
      </c>
      <c r="M211" s="461">
        <v>19115.939999999999</v>
      </c>
      <c r="N211" s="461">
        <v>0</v>
      </c>
      <c r="O211" s="461">
        <v>0</v>
      </c>
      <c r="P211" s="461">
        <v>0</v>
      </c>
      <c r="Q211" s="461">
        <v>0</v>
      </c>
      <c r="R211" s="461">
        <v>0</v>
      </c>
      <c r="S211" s="461">
        <v>0</v>
      </c>
      <c r="T211" s="461">
        <v>0</v>
      </c>
      <c r="U211" s="461">
        <v>0</v>
      </c>
      <c r="V211" s="461">
        <v>0</v>
      </c>
    </row>
    <row r="212" spans="1:22" s="455" customFormat="1" ht="12.75" hidden="1" customHeight="1">
      <c r="A212" s="455" t="str">
        <f t="shared" si="6"/>
        <v>69105303000000</v>
      </c>
      <c r="B212" s="455" t="str">
        <f>VLOOKUP(LEFT($C$3:$C$2600,3),Table!$N$2:$O$88,2,FALSE)</f>
        <v>Selling &amp; admin expenses</v>
      </c>
      <c r="C212" s="535" t="str">
        <f t="shared" si="7"/>
        <v>5303000000</v>
      </c>
      <c r="D212" s="455" t="e">
        <f>VLOOKUP(G212,Table!$Q$3:$R$21,2,FALSE)</f>
        <v>#N/A</v>
      </c>
      <c r="E212" s="452" t="s">
        <v>902</v>
      </c>
      <c r="F212" s="452" t="s">
        <v>2283</v>
      </c>
      <c r="G212" s="452" t="s">
        <v>2308</v>
      </c>
      <c r="H212" s="452" t="s">
        <v>2277</v>
      </c>
      <c r="I212" s="453" t="s">
        <v>844</v>
      </c>
      <c r="J212" s="453">
        <v>929</v>
      </c>
      <c r="K212" s="461">
        <v>335</v>
      </c>
      <c r="L212" s="461">
        <v>297</v>
      </c>
      <c r="M212" s="461">
        <v>297</v>
      </c>
      <c r="N212" s="461">
        <v>0</v>
      </c>
      <c r="O212" s="461">
        <v>0</v>
      </c>
      <c r="P212" s="461">
        <v>0</v>
      </c>
      <c r="Q212" s="461">
        <v>0</v>
      </c>
      <c r="R212" s="461">
        <v>0</v>
      </c>
      <c r="S212" s="461">
        <v>0</v>
      </c>
      <c r="T212" s="461">
        <v>0</v>
      </c>
      <c r="U212" s="461">
        <v>0</v>
      </c>
      <c r="V212" s="461">
        <v>0</v>
      </c>
    </row>
    <row r="213" spans="1:22" s="455" customFormat="1" ht="12.75" hidden="1" customHeight="1">
      <c r="A213" s="455" t="str">
        <f t="shared" si="6"/>
        <v>69105303100000</v>
      </c>
      <c r="B213" s="455" t="str">
        <f>VLOOKUP(LEFT($C$3:$C$2600,3),Table!$N$2:$O$88,2,FALSE)</f>
        <v>Selling &amp; admin expenses</v>
      </c>
      <c r="C213" s="535" t="str">
        <f t="shared" si="7"/>
        <v>5303100000</v>
      </c>
      <c r="D213" s="455" t="e">
        <f>VLOOKUP(G213,Table!$Q$3:$R$21,2,FALSE)</f>
        <v>#N/A</v>
      </c>
      <c r="E213" s="452" t="s">
        <v>902</v>
      </c>
      <c r="F213" s="452" t="s">
        <v>2283</v>
      </c>
      <c r="G213" s="452" t="s">
        <v>2621</v>
      </c>
      <c r="H213" s="452" t="s">
        <v>2279</v>
      </c>
      <c r="I213" s="453" t="s">
        <v>844</v>
      </c>
      <c r="J213" s="453">
        <v>360</v>
      </c>
      <c r="K213" s="461">
        <v>0</v>
      </c>
      <c r="L213" s="461">
        <v>0</v>
      </c>
      <c r="M213" s="461">
        <v>360</v>
      </c>
      <c r="N213" s="461">
        <v>0</v>
      </c>
      <c r="O213" s="461">
        <v>0</v>
      </c>
      <c r="P213" s="461">
        <v>0</v>
      </c>
      <c r="Q213" s="461">
        <v>0</v>
      </c>
      <c r="R213" s="461">
        <v>0</v>
      </c>
      <c r="S213" s="461">
        <v>0</v>
      </c>
      <c r="T213" s="461">
        <v>0</v>
      </c>
      <c r="U213" s="461">
        <v>0</v>
      </c>
      <c r="V213" s="461">
        <v>0</v>
      </c>
    </row>
    <row r="214" spans="1:22" s="455" customFormat="1" ht="12.75" hidden="1" customHeight="1">
      <c r="A214" s="455" t="str">
        <f t="shared" si="6"/>
        <v>69105303202000</v>
      </c>
      <c r="B214" s="455" t="str">
        <f>VLOOKUP(LEFT($C$3:$C$2600,3),Table!$N$2:$O$88,2,FALSE)</f>
        <v>Selling &amp; admin expenses</v>
      </c>
      <c r="C214" s="535" t="str">
        <f t="shared" si="7"/>
        <v>5303202000</v>
      </c>
      <c r="D214" s="455" t="e">
        <f>VLOOKUP(G214,Table!$Q$3:$R$21,2,FALSE)</f>
        <v>#N/A</v>
      </c>
      <c r="E214" s="452" t="s">
        <v>902</v>
      </c>
      <c r="F214" s="452" t="s">
        <v>2283</v>
      </c>
      <c r="G214" s="452" t="s">
        <v>2309</v>
      </c>
      <c r="H214" s="452" t="s">
        <v>2310</v>
      </c>
      <c r="I214" s="453" t="s">
        <v>844</v>
      </c>
      <c r="J214" s="453">
        <v>264</v>
      </c>
      <c r="K214" s="461">
        <v>88</v>
      </c>
      <c r="L214" s="461">
        <v>88</v>
      </c>
      <c r="M214" s="461">
        <v>88</v>
      </c>
      <c r="N214" s="461">
        <v>0</v>
      </c>
      <c r="O214" s="461">
        <v>0</v>
      </c>
      <c r="P214" s="461">
        <v>0</v>
      </c>
      <c r="Q214" s="461">
        <v>0</v>
      </c>
      <c r="R214" s="461">
        <v>0</v>
      </c>
      <c r="S214" s="461">
        <v>0</v>
      </c>
      <c r="T214" s="461">
        <v>0</v>
      </c>
      <c r="U214" s="461">
        <v>0</v>
      </c>
      <c r="V214" s="461">
        <v>0</v>
      </c>
    </row>
    <row r="215" spans="1:22" s="455" customFormat="1" ht="12.75" hidden="1" customHeight="1">
      <c r="A215" s="455" t="str">
        <f t="shared" si="6"/>
        <v>69105303402000</v>
      </c>
      <c r="B215" s="455" t="str">
        <f>VLOOKUP(LEFT($C$3:$C$2600,3),Table!$N$2:$O$88,2,FALSE)</f>
        <v>Selling &amp; admin expenses</v>
      </c>
      <c r="C215" s="535" t="str">
        <f t="shared" si="7"/>
        <v>5303402000</v>
      </c>
      <c r="D215" s="455" t="e">
        <f>VLOOKUP(G215,Table!$Q$3:$R$21,2,FALSE)</f>
        <v>#N/A</v>
      </c>
      <c r="E215" s="452" t="s">
        <v>902</v>
      </c>
      <c r="F215" s="452" t="s">
        <v>2283</v>
      </c>
      <c r="G215" s="452" t="s">
        <v>1633</v>
      </c>
      <c r="H215" s="452" t="s">
        <v>1971</v>
      </c>
      <c r="I215" s="453" t="s">
        <v>844</v>
      </c>
      <c r="J215" s="453">
        <v>6691.98</v>
      </c>
      <c r="K215" s="461">
        <v>4950.3</v>
      </c>
      <c r="L215" s="461">
        <v>409.26</v>
      </c>
      <c r="M215" s="461">
        <v>1332.42</v>
      </c>
      <c r="N215" s="461">
        <v>0</v>
      </c>
      <c r="O215" s="461">
        <v>0</v>
      </c>
      <c r="P215" s="461">
        <v>0</v>
      </c>
      <c r="Q215" s="461">
        <v>0</v>
      </c>
      <c r="R215" s="461">
        <v>0</v>
      </c>
      <c r="S215" s="461">
        <v>0</v>
      </c>
      <c r="T215" s="461">
        <v>0</v>
      </c>
      <c r="U215" s="461">
        <v>0</v>
      </c>
      <c r="V215" s="461">
        <v>0</v>
      </c>
    </row>
    <row r="216" spans="1:22" s="455" customFormat="1" ht="12.75" hidden="1" customHeight="1">
      <c r="A216" s="455" t="str">
        <f t="shared" si="6"/>
        <v>69105303403000</v>
      </c>
      <c r="B216" s="455" t="str">
        <f>VLOOKUP(LEFT($C$3:$C$2600,3),Table!$N$2:$O$88,2,FALSE)</f>
        <v>Selling &amp; admin expenses</v>
      </c>
      <c r="C216" s="535" t="str">
        <f t="shared" si="7"/>
        <v>5303403000</v>
      </c>
      <c r="D216" s="455" t="e">
        <f>VLOOKUP(G216,Table!$Q$3:$R$21,2,FALSE)</f>
        <v>#N/A</v>
      </c>
      <c r="E216" s="452" t="s">
        <v>902</v>
      </c>
      <c r="F216" s="452" t="s">
        <v>2283</v>
      </c>
      <c r="G216" s="452" t="s">
        <v>2311</v>
      </c>
      <c r="H216" s="452" t="s">
        <v>2280</v>
      </c>
      <c r="I216" s="453" t="s">
        <v>844</v>
      </c>
      <c r="J216" s="453">
        <v>510.54</v>
      </c>
      <c r="K216" s="461">
        <v>0</v>
      </c>
      <c r="L216" s="461">
        <v>163.98</v>
      </c>
      <c r="M216" s="461">
        <v>463.11</v>
      </c>
      <c r="N216" s="461">
        <v>0</v>
      </c>
      <c r="O216" s="461">
        <v>0</v>
      </c>
      <c r="P216" s="461">
        <v>0</v>
      </c>
      <c r="Q216" s="461">
        <v>0</v>
      </c>
      <c r="R216" s="461">
        <v>0</v>
      </c>
      <c r="S216" s="461">
        <v>0</v>
      </c>
      <c r="T216" s="461">
        <v>0</v>
      </c>
      <c r="U216" s="461">
        <v>0</v>
      </c>
      <c r="V216" s="461">
        <v>0</v>
      </c>
    </row>
    <row r="217" spans="1:22" s="455" customFormat="1" ht="12.75" hidden="1" customHeight="1">
      <c r="A217" s="455" t="str">
        <f t="shared" si="6"/>
        <v>69105303500000</v>
      </c>
      <c r="B217" s="455" t="str">
        <f>VLOOKUP(LEFT($C$3:$C$2600,3),Table!$N$2:$O$88,2,FALSE)</f>
        <v>Selling &amp; admin expenses</v>
      </c>
      <c r="C217" s="535" t="str">
        <f t="shared" si="7"/>
        <v>5303500000</v>
      </c>
      <c r="D217" s="455" t="e">
        <f>VLOOKUP(G217,Table!$Q$3:$R$21,2,FALSE)</f>
        <v>#N/A</v>
      </c>
      <c r="E217" s="452" t="s">
        <v>902</v>
      </c>
      <c r="F217" s="452" t="s">
        <v>2283</v>
      </c>
      <c r="G217" s="452" t="s">
        <v>2312</v>
      </c>
      <c r="H217" s="452" t="s">
        <v>2313</v>
      </c>
      <c r="I217" s="453" t="s">
        <v>844</v>
      </c>
      <c r="J217" s="453">
        <v>4149.07</v>
      </c>
      <c r="K217" s="461">
        <v>3124.32</v>
      </c>
      <c r="L217" s="461">
        <v>505.54</v>
      </c>
      <c r="M217" s="461">
        <v>519.21</v>
      </c>
      <c r="N217" s="461">
        <v>0</v>
      </c>
      <c r="O217" s="461">
        <v>0</v>
      </c>
      <c r="P217" s="461">
        <v>0</v>
      </c>
      <c r="Q217" s="461">
        <v>0</v>
      </c>
      <c r="R217" s="461">
        <v>0</v>
      </c>
      <c r="S217" s="461">
        <v>0</v>
      </c>
      <c r="T217" s="461">
        <v>0</v>
      </c>
      <c r="U217" s="461">
        <v>0</v>
      </c>
      <c r="V217" s="461">
        <v>0</v>
      </c>
    </row>
    <row r="218" spans="1:22" s="455" customFormat="1" ht="12.75" hidden="1" customHeight="1">
      <c r="A218" s="455" t="str">
        <f t="shared" si="6"/>
        <v>69105303501010</v>
      </c>
      <c r="B218" s="455" t="str">
        <f>VLOOKUP(LEFT($C$3:$C$2600,3),Table!$N$2:$O$88,2,FALSE)</f>
        <v>Selling &amp; admin expenses</v>
      </c>
      <c r="C218" s="535" t="str">
        <f t="shared" si="7"/>
        <v>5303501010</v>
      </c>
      <c r="D218" s="455" t="e">
        <f>VLOOKUP(G218,Table!$Q$3:$R$21,2,FALSE)</f>
        <v>#N/A</v>
      </c>
      <c r="E218" s="452" t="s">
        <v>902</v>
      </c>
      <c r="F218" s="452" t="s">
        <v>2283</v>
      </c>
      <c r="G218" s="452" t="s">
        <v>2314</v>
      </c>
      <c r="H218" s="452" t="s">
        <v>2315</v>
      </c>
      <c r="I218" s="453" t="s">
        <v>844</v>
      </c>
      <c r="J218" s="453">
        <v>5</v>
      </c>
      <c r="K218" s="461">
        <v>0</v>
      </c>
      <c r="L218" s="461">
        <v>0</v>
      </c>
      <c r="M218" s="461">
        <v>5</v>
      </c>
      <c r="N218" s="461">
        <v>0</v>
      </c>
      <c r="O218" s="461">
        <v>0</v>
      </c>
      <c r="P218" s="461">
        <v>0</v>
      </c>
      <c r="Q218" s="461">
        <v>0</v>
      </c>
      <c r="R218" s="461">
        <v>0</v>
      </c>
      <c r="S218" s="461">
        <v>0</v>
      </c>
      <c r="T218" s="461">
        <v>0</v>
      </c>
      <c r="U218" s="461">
        <v>0</v>
      </c>
      <c r="V218" s="461">
        <v>0</v>
      </c>
    </row>
    <row r="219" spans="1:22" s="455" customFormat="1" ht="12.75" hidden="1" customHeight="1">
      <c r="A219" s="455" t="str">
        <f t="shared" si="6"/>
        <v>69105303501011</v>
      </c>
      <c r="B219" s="455" t="str">
        <f>VLOOKUP(LEFT($C$3:$C$2600,3),Table!$N$2:$O$88,2,FALSE)</f>
        <v>Selling &amp; admin expenses</v>
      </c>
      <c r="C219" s="535" t="str">
        <f t="shared" si="7"/>
        <v>5303501011</v>
      </c>
      <c r="D219" s="455" t="e">
        <f>VLOOKUP(G219,Table!$Q$3:$R$21,2,FALSE)</f>
        <v>#N/A</v>
      </c>
      <c r="E219" s="452" t="s">
        <v>902</v>
      </c>
      <c r="F219" s="452" t="s">
        <v>2283</v>
      </c>
      <c r="G219" s="452" t="s">
        <v>936</v>
      </c>
      <c r="H219" s="452" t="s">
        <v>2316</v>
      </c>
      <c r="I219" s="453" t="s">
        <v>844</v>
      </c>
      <c r="J219" s="453">
        <v>10384.18</v>
      </c>
      <c r="K219" s="461">
        <v>793.34</v>
      </c>
      <c r="L219" s="461">
        <v>5273.6</v>
      </c>
      <c r="M219" s="461">
        <v>4317.24</v>
      </c>
      <c r="N219" s="461">
        <v>0</v>
      </c>
      <c r="O219" s="461">
        <v>0</v>
      </c>
      <c r="P219" s="461">
        <v>0</v>
      </c>
      <c r="Q219" s="461">
        <v>0</v>
      </c>
      <c r="R219" s="461">
        <v>0</v>
      </c>
      <c r="S219" s="461">
        <v>0</v>
      </c>
      <c r="T219" s="461">
        <v>0</v>
      </c>
      <c r="U219" s="461">
        <v>0</v>
      </c>
      <c r="V219" s="461">
        <v>0</v>
      </c>
    </row>
    <row r="220" spans="1:22" s="455" customFormat="1" ht="12.75" hidden="1" customHeight="1">
      <c r="A220" s="455" t="str">
        <f t="shared" si="6"/>
        <v>69105303501013</v>
      </c>
      <c r="B220" s="455" t="str">
        <f>VLOOKUP(LEFT($C$3:$C$2600,3),Table!$N$2:$O$88,2,FALSE)</f>
        <v>Selling &amp; admin expenses</v>
      </c>
      <c r="C220" s="535" t="str">
        <f t="shared" si="7"/>
        <v>5303501013</v>
      </c>
      <c r="D220" s="455" t="e">
        <f>VLOOKUP(G220,Table!$Q$3:$R$21,2,FALSE)</f>
        <v>#N/A</v>
      </c>
      <c r="E220" s="452" t="s">
        <v>902</v>
      </c>
      <c r="F220" s="452" t="s">
        <v>2283</v>
      </c>
      <c r="G220" s="452" t="s">
        <v>938</v>
      </c>
      <c r="H220" s="452" t="s">
        <v>2317</v>
      </c>
      <c r="I220" s="453" t="s">
        <v>844</v>
      </c>
      <c r="J220" s="453">
        <v>1072.08</v>
      </c>
      <c r="K220" s="461">
        <v>-80</v>
      </c>
      <c r="L220" s="461">
        <v>302.08</v>
      </c>
      <c r="M220" s="461">
        <v>850</v>
      </c>
      <c r="N220" s="461">
        <v>0</v>
      </c>
      <c r="O220" s="461">
        <v>0</v>
      </c>
      <c r="P220" s="461">
        <v>0</v>
      </c>
      <c r="Q220" s="461">
        <v>0</v>
      </c>
      <c r="R220" s="461">
        <v>0</v>
      </c>
      <c r="S220" s="461">
        <v>0</v>
      </c>
      <c r="T220" s="461">
        <v>0</v>
      </c>
      <c r="U220" s="461">
        <v>0</v>
      </c>
      <c r="V220" s="461">
        <v>0</v>
      </c>
    </row>
    <row r="221" spans="1:22" s="455" customFormat="1" ht="12.75" hidden="1" customHeight="1">
      <c r="A221" s="455" t="str">
        <f t="shared" si="6"/>
        <v>69105303501111</v>
      </c>
      <c r="B221" s="455" t="str">
        <f>VLOOKUP(LEFT($C$3:$C$2600,3),Table!$N$2:$O$88,2,FALSE)</f>
        <v>Selling &amp; admin expenses</v>
      </c>
      <c r="C221" s="535" t="str">
        <f t="shared" si="7"/>
        <v>5303501111</v>
      </c>
      <c r="D221" s="455" t="e">
        <f>VLOOKUP(G221,Table!$Q$3:$R$21,2,FALSE)</f>
        <v>#N/A</v>
      </c>
      <c r="E221" s="452" t="s">
        <v>902</v>
      </c>
      <c r="F221" s="452" t="s">
        <v>2283</v>
      </c>
      <c r="G221" s="452" t="s">
        <v>946</v>
      </c>
      <c r="H221" s="452" t="s">
        <v>2318</v>
      </c>
      <c r="I221" s="453" t="s">
        <v>844</v>
      </c>
      <c r="J221" s="453">
        <v>188</v>
      </c>
      <c r="K221" s="461">
        <v>0</v>
      </c>
      <c r="L221" s="461">
        <v>188</v>
      </c>
      <c r="M221" s="461">
        <v>0</v>
      </c>
      <c r="N221" s="461">
        <v>0</v>
      </c>
      <c r="O221" s="461">
        <v>0</v>
      </c>
      <c r="P221" s="461">
        <v>0</v>
      </c>
      <c r="Q221" s="461">
        <v>0</v>
      </c>
      <c r="R221" s="461">
        <v>0</v>
      </c>
      <c r="S221" s="461">
        <v>0</v>
      </c>
      <c r="T221" s="461">
        <v>0</v>
      </c>
      <c r="U221" s="461">
        <v>0</v>
      </c>
      <c r="V221" s="461">
        <v>0</v>
      </c>
    </row>
    <row r="222" spans="1:22" s="455" customFormat="1" ht="12.75" hidden="1" customHeight="1">
      <c r="A222" s="455" t="str">
        <f t="shared" si="6"/>
        <v>69105303501210</v>
      </c>
      <c r="B222" s="455" t="str">
        <f>VLOOKUP(LEFT($C$3:$C$2600,3),Table!$N$2:$O$88,2,FALSE)</f>
        <v>Selling &amp; admin expenses</v>
      </c>
      <c r="C222" s="535" t="str">
        <f t="shared" si="7"/>
        <v>5303501210</v>
      </c>
      <c r="D222" s="455" t="e">
        <f>VLOOKUP(G222,Table!$Q$3:$R$21,2,FALSE)</f>
        <v>#N/A</v>
      </c>
      <c r="E222" s="452" t="s">
        <v>902</v>
      </c>
      <c r="F222" s="452" t="s">
        <v>2283</v>
      </c>
      <c r="G222" s="452" t="s">
        <v>2319</v>
      </c>
      <c r="H222" s="452" t="s">
        <v>2320</v>
      </c>
      <c r="I222" s="453" t="s">
        <v>844</v>
      </c>
      <c r="J222" s="453">
        <v>148.6</v>
      </c>
      <c r="K222" s="461">
        <v>46.8</v>
      </c>
      <c r="L222" s="461">
        <v>47.6</v>
      </c>
      <c r="M222" s="461">
        <v>54.2</v>
      </c>
      <c r="N222" s="461">
        <v>0</v>
      </c>
      <c r="O222" s="461">
        <v>0</v>
      </c>
      <c r="P222" s="461">
        <v>0</v>
      </c>
      <c r="Q222" s="461">
        <v>0</v>
      </c>
      <c r="R222" s="461">
        <v>0</v>
      </c>
      <c r="S222" s="461">
        <v>0</v>
      </c>
      <c r="T222" s="461">
        <v>0</v>
      </c>
      <c r="U222" s="461">
        <v>0</v>
      </c>
      <c r="V222" s="461">
        <v>0</v>
      </c>
    </row>
    <row r="223" spans="1:22" s="455" customFormat="1" ht="12.75" hidden="1" customHeight="1">
      <c r="A223" s="455" t="str">
        <f t="shared" si="6"/>
        <v>69105303501310</v>
      </c>
      <c r="B223" s="455" t="str">
        <f>VLOOKUP(LEFT($C$3:$C$2600,3),Table!$N$2:$O$88,2,FALSE)</f>
        <v>Selling &amp; admin expenses</v>
      </c>
      <c r="C223" s="535" t="str">
        <f t="shared" si="7"/>
        <v>5303501310</v>
      </c>
      <c r="D223" s="455" t="e">
        <f>VLOOKUP(G223,Table!$Q$3:$R$21,2,FALSE)</f>
        <v>#N/A</v>
      </c>
      <c r="E223" s="452" t="s">
        <v>902</v>
      </c>
      <c r="F223" s="452" t="s">
        <v>2283</v>
      </c>
      <c r="G223" s="452" t="s">
        <v>2321</v>
      </c>
      <c r="H223" s="452" t="s">
        <v>2322</v>
      </c>
      <c r="I223" s="453" t="s">
        <v>844</v>
      </c>
      <c r="J223" s="453">
        <v>40</v>
      </c>
      <c r="K223" s="461">
        <v>20</v>
      </c>
      <c r="L223" s="461">
        <v>20</v>
      </c>
      <c r="M223" s="461">
        <v>0</v>
      </c>
      <c r="N223" s="461">
        <v>0</v>
      </c>
      <c r="O223" s="461">
        <v>0</v>
      </c>
      <c r="P223" s="461">
        <v>0</v>
      </c>
      <c r="Q223" s="461">
        <v>0</v>
      </c>
      <c r="R223" s="461">
        <v>0</v>
      </c>
      <c r="S223" s="461">
        <v>0</v>
      </c>
      <c r="T223" s="461">
        <v>0</v>
      </c>
      <c r="U223" s="461">
        <v>0</v>
      </c>
      <c r="V223" s="461">
        <v>0</v>
      </c>
    </row>
    <row r="224" spans="1:22" s="455" customFormat="1" ht="12.75" hidden="1" customHeight="1">
      <c r="A224" s="455" t="str">
        <f t="shared" si="6"/>
        <v>69105303700000</v>
      </c>
      <c r="B224" s="455" t="str">
        <f>VLOOKUP(LEFT($C$3:$C$2600,3),Table!$N$2:$O$88,2,FALSE)</f>
        <v>Selling &amp; admin expenses</v>
      </c>
      <c r="C224" s="535" t="str">
        <f t="shared" si="7"/>
        <v>5303700000</v>
      </c>
      <c r="D224" s="455" t="e">
        <f>VLOOKUP(G224,Table!$Q$3:$R$21,2,FALSE)</f>
        <v>#N/A</v>
      </c>
      <c r="E224" s="452" t="s">
        <v>902</v>
      </c>
      <c r="F224" s="452" t="s">
        <v>2283</v>
      </c>
      <c r="G224" s="452" t="s">
        <v>1570</v>
      </c>
      <c r="H224" s="452" t="s">
        <v>2323</v>
      </c>
      <c r="I224" s="453" t="s">
        <v>844</v>
      </c>
      <c r="J224" s="453">
        <v>2712</v>
      </c>
      <c r="K224" s="461">
        <v>0</v>
      </c>
      <c r="L224" s="461">
        <v>0</v>
      </c>
      <c r="M224" s="461">
        <v>2712</v>
      </c>
      <c r="N224" s="461">
        <v>0</v>
      </c>
      <c r="O224" s="461">
        <v>0</v>
      </c>
      <c r="P224" s="461">
        <v>0</v>
      </c>
      <c r="Q224" s="461">
        <v>0</v>
      </c>
      <c r="R224" s="461">
        <v>0</v>
      </c>
      <c r="S224" s="461">
        <v>0</v>
      </c>
      <c r="T224" s="461">
        <v>0</v>
      </c>
      <c r="U224" s="461">
        <v>0</v>
      </c>
      <c r="V224" s="461">
        <v>0</v>
      </c>
    </row>
    <row r="225" spans="1:22" s="455" customFormat="1" ht="12.75" hidden="1" customHeight="1">
      <c r="A225" s="455" t="str">
        <f t="shared" si="6"/>
        <v>69105303900000</v>
      </c>
      <c r="B225" s="455" t="str">
        <f>VLOOKUP(LEFT($C$3:$C$2600,3),Table!$N$2:$O$88,2,FALSE)</f>
        <v>Selling &amp; admin expenses</v>
      </c>
      <c r="C225" s="535" t="str">
        <f t="shared" si="7"/>
        <v>5303900000</v>
      </c>
      <c r="D225" s="455" t="e">
        <f>VLOOKUP(G225,Table!$Q$3:$R$21,2,FALSE)</f>
        <v>#N/A</v>
      </c>
      <c r="E225" s="452" t="s">
        <v>902</v>
      </c>
      <c r="F225" s="452" t="s">
        <v>2283</v>
      </c>
      <c r="G225" s="452" t="s">
        <v>2324</v>
      </c>
      <c r="H225" s="452" t="s">
        <v>2325</v>
      </c>
      <c r="I225" s="453" t="s">
        <v>844</v>
      </c>
      <c r="J225" s="453">
        <v>3035.49</v>
      </c>
      <c r="K225" s="461">
        <v>7182.44</v>
      </c>
      <c r="L225" s="461">
        <v>9822.59</v>
      </c>
      <c r="M225" s="461">
        <v>22585.599999999999</v>
      </c>
      <c r="N225" s="461">
        <v>0</v>
      </c>
      <c r="O225" s="461">
        <v>0</v>
      </c>
      <c r="P225" s="461">
        <v>0</v>
      </c>
      <c r="Q225" s="461">
        <v>0</v>
      </c>
      <c r="R225" s="461">
        <v>0</v>
      </c>
      <c r="S225" s="461">
        <v>0</v>
      </c>
      <c r="T225" s="461">
        <v>0</v>
      </c>
      <c r="U225" s="461">
        <v>0</v>
      </c>
      <c r="V225" s="461">
        <v>0</v>
      </c>
    </row>
    <row r="226" spans="1:22" s="455" customFormat="1" ht="12.75" hidden="1" customHeight="1">
      <c r="A226" s="455" t="str">
        <f t="shared" si="6"/>
        <v>69105308000000</v>
      </c>
      <c r="B226" s="455" t="str">
        <f>VLOOKUP(LEFT($C$3:$C$2600,3),Table!$N$2:$O$88,2,FALSE)</f>
        <v>Selling &amp; admin expenses</v>
      </c>
      <c r="C226" s="535" t="str">
        <f t="shared" si="7"/>
        <v>5308000000</v>
      </c>
      <c r="D226" s="455" t="e">
        <f>VLOOKUP(G226,Table!$Q$3:$R$21,2,FALSE)</f>
        <v>#N/A</v>
      </c>
      <c r="E226" s="452" t="s">
        <v>902</v>
      </c>
      <c r="F226" s="452" t="s">
        <v>2283</v>
      </c>
      <c r="G226" s="452" t="s">
        <v>2326</v>
      </c>
      <c r="H226" s="452" t="s">
        <v>2327</v>
      </c>
      <c r="I226" s="453" t="s">
        <v>844</v>
      </c>
      <c r="J226" s="453">
        <v>27000</v>
      </c>
      <c r="K226" s="461">
        <v>9000</v>
      </c>
      <c r="L226" s="461">
        <v>9000</v>
      </c>
      <c r="M226" s="461">
        <v>9000</v>
      </c>
      <c r="N226" s="461">
        <v>0</v>
      </c>
      <c r="O226" s="461">
        <v>0</v>
      </c>
      <c r="P226" s="461">
        <v>0</v>
      </c>
      <c r="Q226" s="461">
        <v>0</v>
      </c>
      <c r="R226" s="461">
        <v>0</v>
      </c>
      <c r="S226" s="461">
        <v>0</v>
      </c>
      <c r="T226" s="461">
        <v>0</v>
      </c>
      <c r="U226" s="461">
        <v>0</v>
      </c>
      <c r="V226" s="461">
        <v>0</v>
      </c>
    </row>
    <row r="227" spans="1:22" s="455" customFormat="1" ht="12.75" hidden="1" customHeight="1">
      <c r="A227" s="455" t="str">
        <f t="shared" si="6"/>
        <v>69105309000000</v>
      </c>
      <c r="B227" s="455" t="str">
        <f>VLOOKUP(LEFT($C$3:$C$2600,3),Table!$N$2:$O$88,2,FALSE)</f>
        <v>Selling &amp; admin expenses</v>
      </c>
      <c r="C227" s="535" t="str">
        <f t="shared" si="7"/>
        <v>5309000000</v>
      </c>
      <c r="D227" s="455" t="e">
        <f>VLOOKUP(G227,Table!$Q$3:$R$21,2,FALSE)</f>
        <v>#N/A</v>
      </c>
      <c r="E227" s="452" t="s">
        <v>902</v>
      </c>
      <c r="F227" s="452" t="s">
        <v>2283</v>
      </c>
      <c r="G227" s="452" t="s">
        <v>2328</v>
      </c>
      <c r="H227" s="452" t="s">
        <v>2329</v>
      </c>
      <c r="I227" s="453" t="s">
        <v>844</v>
      </c>
      <c r="J227" s="453">
        <v>222000</v>
      </c>
      <c r="K227" s="461">
        <v>74000</v>
      </c>
      <c r="L227" s="461">
        <v>74000</v>
      </c>
      <c r="M227" s="461">
        <v>74000</v>
      </c>
      <c r="N227" s="461">
        <v>0</v>
      </c>
      <c r="O227" s="461">
        <v>0</v>
      </c>
      <c r="P227" s="461">
        <v>0</v>
      </c>
      <c r="Q227" s="461">
        <v>0</v>
      </c>
      <c r="R227" s="461">
        <v>0</v>
      </c>
      <c r="S227" s="461">
        <v>0</v>
      </c>
      <c r="T227" s="461">
        <v>0</v>
      </c>
      <c r="U227" s="461">
        <v>0</v>
      </c>
      <c r="V227" s="461">
        <v>0</v>
      </c>
    </row>
    <row r="228" spans="1:22" s="455" customFormat="1" ht="12.75" hidden="1" customHeight="1">
      <c r="A228" s="455" t="str">
        <f t="shared" si="6"/>
        <v>T</v>
      </c>
      <c r="B228" s="455">
        <f>VLOOKUP(LEFT($C$3:$C$2600,3),Table!$N$2:$O$88,2,FALSE)</f>
        <v>0</v>
      </c>
      <c r="C228" s="535" t="str">
        <f t="shared" si="7"/>
        <v>T</v>
      </c>
      <c r="D228" s="455" t="e">
        <f>VLOOKUP(G228,Table!$Q$3:$R$21,2,FALSE)</f>
        <v>#N/A</v>
      </c>
      <c r="E228" s="452"/>
      <c r="F228" s="452"/>
      <c r="G228" s="452" t="s">
        <v>844</v>
      </c>
      <c r="H228" s="452"/>
      <c r="I228" s="453" t="s">
        <v>844</v>
      </c>
      <c r="J228" s="453"/>
      <c r="K228" s="461"/>
      <c r="L228" s="461"/>
      <c r="M228" s="461"/>
      <c r="N228" s="461"/>
      <c r="O228" s="461"/>
      <c r="P228" s="461"/>
      <c r="Q228" s="461"/>
      <c r="R228" s="461"/>
      <c r="S228" s="461"/>
      <c r="T228" s="461"/>
      <c r="U228" s="461"/>
      <c r="V228" s="461"/>
    </row>
    <row r="229" spans="1:22" s="455" customFormat="1" ht="12.75" hidden="1" customHeight="1">
      <c r="A229" s="455" t="str">
        <f t="shared" si="6"/>
        <v>T</v>
      </c>
      <c r="B229" s="455">
        <f>VLOOKUP(LEFT($C$3:$C$2600,3),Table!$N$2:$O$88,2,FALSE)</f>
        <v>0</v>
      </c>
      <c r="C229" s="535" t="str">
        <f t="shared" si="7"/>
        <v>T</v>
      </c>
      <c r="D229" s="455" t="e">
        <f>VLOOKUP(G229,Table!$Q$3:$R$21,2,FALSE)</f>
        <v>#N/A</v>
      </c>
      <c r="E229" s="452"/>
      <c r="F229" s="452"/>
      <c r="G229" s="452" t="s">
        <v>844</v>
      </c>
      <c r="H229" s="452"/>
      <c r="I229" s="453" t="s">
        <v>844</v>
      </c>
      <c r="J229" s="453"/>
      <c r="K229" s="461"/>
      <c r="L229" s="461"/>
      <c r="M229" s="461"/>
      <c r="N229" s="461"/>
      <c r="O229" s="461"/>
      <c r="P229" s="461"/>
      <c r="Q229" s="461"/>
      <c r="R229" s="461"/>
      <c r="S229" s="461"/>
      <c r="T229" s="461"/>
      <c r="U229" s="461"/>
      <c r="V229" s="461"/>
    </row>
    <row r="230" spans="1:22" s="455" customFormat="1" ht="12.75" hidden="1" customHeight="1">
      <c r="A230" s="455" t="str">
        <f t="shared" si="6"/>
        <v>T</v>
      </c>
      <c r="B230" s="455">
        <f>VLOOKUP(LEFT($C$3:$C$2600,3),Table!$N$2:$O$88,2,FALSE)</f>
        <v>0</v>
      </c>
      <c r="C230" s="535" t="str">
        <f t="shared" si="7"/>
        <v>T</v>
      </c>
      <c r="D230" s="455" t="e">
        <f>VLOOKUP(G230,Table!$Q$3:$R$21,2,FALSE)</f>
        <v>#N/A</v>
      </c>
      <c r="E230" s="452"/>
      <c r="F230" s="452"/>
      <c r="G230" s="452" t="s">
        <v>844</v>
      </c>
      <c r="H230" s="452"/>
      <c r="I230" s="453" t="s">
        <v>844</v>
      </c>
      <c r="J230" s="453"/>
      <c r="K230" s="461"/>
      <c r="L230" s="461"/>
      <c r="M230" s="461"/>
      <c r="N230" s="461"/>
      <c r="O230" s="461"/>
      <c r="P230" s="461"/>
      <c r="Q230" s="461"/>
      <c r="R230" s="461"/>
      <c r="S230" s="461"/>
      <c r="T230" s="461"/>
      <c r="U230" s="461"/>
      <c r="V230" s="461"/>
    </row>
    <row r="231" spans="1:22" s="455" customFormat="1" ht="12.75" hidden="1" customHeight="1">
      <c r="A231" s="455" t="str">
        <f t="shared" si="6"/>
        <v>T</v>
      </c>
      <c r="B231" s="455">
        <f>VLOOKUP(LEFT($C$3:$C$2600,3),Table!$N$2:$O$88,2,FALSE)</f>
        <v>0</v>
      </c>
      <c r="C231" s="535" t="str">
        <f t="shared" si="7"/>
        <v>T</v>
      </c>
      <c r="D231" s="455" t="e">
        <f>VLOOKUP(G231,Table!$Q$3:$R$21,2,FALSE)</f>
        <v>#N/A</v>
      </c>
      <c r="E231" s="452"/>
      <c r="F231" s="452"/>
      <c r="G231" s="452" t="s">
        <v>844</v>
      </c>
      <c r="H231" s="452"/>
      <c r="I231" s="453" t="s">
        <v>844</v>
      </c>
      <c r="J231" s="453"/>
      <c r="K231" s="461"/>
      <c r="L231" s="461"/>
      <c r="M231" s="461"/>
      <c r="N231" s="461"/>
      <c r="O231" s="461"/>
      <c r="P231" s="461"/>
      <c r="Q231" s="461"/>
      <c r="R231" s="461"/>
      <c r="S231" s="461"/>
      <c r="T231" s="461"/>
      <c r="U231" s="461"/>
      <c r="V231" s="461"/>
    </row>
    <row r="232" spans="1:22" s="455" customFormat="1" ht="12.75" hidden="1" customHeight="1">
      <c r="A232" s="455" t="str">
        <f t="shared" si="6"/>
        <v>T</v>
      </c>
      <c r="B232" s="455">
        <f>VLOOKUP(LEFT($C$3:$C$2600,3),Table!$N$2:$O$88,2,FALSE)</f>
        <v>0</v>
      </c>
      <c r="C232" s="535" t="str">
        <f t="shared" si="7"/>
        <v>T</v>
      </c>
      <c r="D232" s="455" t="e">
        <f>VLOOKUP(G232,Table!$Q$3:$R$21,2,FALSE)</f>
        <v>#N/A</v>
      </c>
      <c r="E232" s="452"/>
      <c r="F232" s="452"/>
      <c r="G232" s="452" t="s">
        <v>844</v>
      </c>
      <c r="H232" s="452"/>
      <c r="I232" s="453" t="s">
        <v>844</v>
      </c>
      <c r="J232" s="453"/>
      <c r="K232" s="461"/>
      <c r="L232" s="461"/>
      <c r="M232" s="461"/>
      <c r="N232" s="461"/>
      <c r="O232" s="461"/>
      <c r="P232" s="461"/>
      <c r="Q232" s="461"/>
      <c r="R232" s="461"/>
      <c r="S232" s="461"/>
      <c r="T232" s="461"/>
      <c r="U232" s="461"/>
      <c r="V232" s="461"/>
    </row>
    <row r="233" spans="1:22" s="455" customFormat="1" ht="12.75" hidden="1" customHeight="1">
      <c r="A233" s="455" t="str">
        <f t="shared" si="6"/>
        <v>T</v>
      </c>
      <c r="B233" s="455">
        <f>VLOOKUP(LEFT($C$3:$C$2600,3),Table!$N$2:$O$88,2,FALSE)</f>
        <v>0</v>
      </c>
      <c r="C233" s="535" t="str">
        <f t="shared" si="7"/>
        <v>T</v>
      </c>
      <c r="D233" s="455" t="e">
        <f>VLOOKUP(G233,Table!$Q$3:$R$21,2,FALSE)</f>
        <v>#N/A</v>
      </c>
      <c r="E233" s="452"/>
      <c r="F233" s="452"/>
      <c r="G233" s="452" t="s">
        <v>844</v>
      </c>
      <c r="H233" s="452"/>
      <c r="I233" s="453" t="s">
        <v>844</v>
      </c>
      <c r="J233" s="453"/>
      <c r="K233" s="461"/>
      <c r="L233" s="461"/>
      <c r="M233" s="461"/>
      <c r="N233" s="461"/>
      <c r="O233" s="461"/>
      <c r="P233" s="461"/>
      <c r="Q233" s="461"/>
      <c r="R233" s="461"/>
      <c r="S233" s="461"/>
      <c r="T233" s="461"/>
      <c r="U233" s="461"/>
      <c r="V233" s="461"/>
    </row>
    <row r="234" spans="1:22" s="455" customFormat="1" ht="12.75" hidden="1" customHeight="1">
      <c r="A234" s="455" t="str">
        <f t="shared" si="6"/>
        <v>T</v>
      </c>
      <c r="B234" s="455">
        <f>VLOOKUP(LEFT($C$3:$C$2600,3),Table!$N$2:$O$88,2,FALSE)</f>
        <v>0</v>
      </c>
      <c r="C234" s="535" t="str">
        <f t="shared" si="7"/>
        <v>T</v>
      </c>
      <c r="D234" s="455" t="e">
        <f>VLOOKUP(G234,Table!$Q$3:$R$21,2,FALSE)</f>
        <v>#N/A</v>
      </c>
      <c r="E234" s="452"/>
      <c r="F234" s="452"/>
      <c r="G234" s="452" t="s">
        <v>844</v>
      </c>
      <c r="H234" s="452"/>
      <c r="I234" s="453" t="s">
        <v>844</v>
      </c>
      <c r="J234" s="453"/>
      <c r="K234" s="461"/>
      <c r="L234" s="461"/>
      <c r="M234" s="461"/>
      <c r="N234" s="461"/>
      <c r="O234" s="461"/>
      <c r="P234" s="461"/>
      <c r="Q234" s="461"/>
      <c r="R234" s="461"/>
      <c r="S234" s="461"/>
      <c r="T234" s="461"/>
      <c r="U234" s="461"/>
      <c r="V234" s="461"/>
    </row>
    <row r="235" spans="1:22" s="455" customFormat="1" ht="12.75" hidden="1" customHeight="1">
      <c r="A235" s="455" t="str">
        <f t="shared" si="6"/>
        <v>T</v>
      </c>
      <c r="B235" s="455">
        <f>VLOOKUP(LEFT($C$3:$C$2600,3),Table!$N$2:$O$88,2,FALSE)</f>
        <v>0</v>
      </c>
      <c r="C235" s="535" t="str">
        <f t="shared" si="7"/>
        <v>T</v>
      </c>
      <c r="D235" s="455" t="e">
        <f>VLOOKUP(G235,Table!$Q$3:$R$21,2,FALSE)</f>
        <v>#N/A</v>
      </c>
      <c r="E235" s="452"/>
      <c r="F235" s="452"/>
      <c r="G235" s="452" t="s">
        <v>844</v>
      </c>
      <c r="H235" s="452"/>
      <c r="I235" s="453" t="s">
        <v>844</v>
      </c>
      <c r="J235" s="453"/>
      <c r="K235" s="461"/>
      <c r="L235" s="461"/>
      <c r="M235" s="461"/>
      <c r="N235" s="461"/>
      <c r="O235" s="461"/>
      <c r="P235" s="461"/>
      <c r="Q235" s="461"/>
      <c r="R235" s="461"/>
      <c r="S235" s="461"/>
      <c r="T235" s="461"/>
      <c r="U235" s="461"/>
      <c r="V235" s="461"/>
    </row>
    <row r="236" spans="1:22" s="455" customFormat="1" ht="12.75" hidden="1" customHeight="1">
      <c r="A236" s="455" t="str">
        <f t="shared" si="6"/>
        <v>T</v>
      </c>
      <c r="B236" s="455">
        <f>VLOOKUP(LEFT($C$3:$C$2600,3),Table!$N$2:$O$88,2,FALSE)</f>
        <v>0</v>
      </c>
      <c r="C236" s="535" t="str">
        <f t="shared" si="7"/>
        <v>T</v>
      </c>
      <c r="D236" s="455" t="e">
        <f>VLOOKUP(G236,Table!$Q$3:$R$21,2,FALSE)</f>
        <v>#N/A</v>
      </c>
      <c r="E236" s="452"/>
      <c r="F236" s="452"/>
      <c r="G236" s="452" t="s">
        <v>844</v>
      </c>
      <c r="H236" s="452"/>
      <c r="I236" s="453" t="s">
        <v>844</v>
      </c>
      <c r="J236" s="453"/>
      <c r="K236" s="461"/>
      <c r="L236" s="461"/>
      <c r="M236" s="461"/>
      <c r="N236" s="461"/>
      <c r="O236" s="461"/>
      <c r="P236" s="461"/>
      <c r="Q236" s="461"/>
      <c r="R236" s="461"/>
      <c r="S236" s="461"/>
      <c r="T236" s="461"/>
      <c r="U236" s="461"/>
      <c r="V236" s="461"/>
    </row>
    <row r="237" spans="1:22" s="455" customFormat="1" ht="12.75" hidden="1" customHeight="1">
      <c r="A237" s="455" t="str">
        <f t="shared" si="6"/>
        <v>T</v>
      </c>
      <c r="B237" s="455">
        <f>VLOOKUP(LEFT($C$3:$C$2600,3),Table!$N$2:$O$88,2,FALSE)</f>
        <v>0</v>
      </c>
      <c r="C237" s="535" t="str">
        <f t="shared" si="7"/>
        <v>T</v>
      </c>
      <c r="D237" s="455" t="e">
        <f>VLOOKUP(G237,Table!$Q$3:$R$21,2,FALSE)</f>
        <v>#N/A</v>
      </c>
      <c r="E237" s="452"/>
      <c r="F237" s="452"/>
      <c r="G237" s="452" t="s">
        <v>844</v>
      </c>
      <c r="H237" s="452"/>
      <c r="I237" s="453" t="s">
        <v>844</v>
      </c>
      <c r="J237" s="453"/>
      <c r="K237" s="461"/>
      <c r="L237" s="461"/>
      <c r="M237" s="461"/>
      <c r="N237" s="461"/>
      <c r="O237" s="461"/>
      <c r="P237" s="461"/>
      <c r="Q237" s="461"/>
      <c r="R237" s="461"/>
      <c r="S237" s="461"/>
      <c r="T237" s="461"/>
      <c r="U237" s="461"/>
      <c r="V237" s="461"/>
    </row>
    <row r="238" spans="1:22" s="455" customFormat="1" ht="12.75" hidden="1" customHeight="1">
      <c r="A238" s="455" t="str">
        <f t="shared" si="6"/>
        <v>T</v>
      </c>
      <c r="B238" s="455">
        <f>VLOOKUP(LEFT($C$3:$C$2600,3),Table!$N$2:$O$88,2,FALSE)</f>
        <v>0</v>
      </c>
      <c r="C238" s="535" t="str">
        <f t="shared" si="7"/>
        <v>T</v>
      </c>
      <c r="D238" s="455" t="e">
        <f>VLOOKUP(G238,Table!$Q$3:$R$21,2,FALSE)</f>
        <v>#N/A</v>
      </c>
      <c r="E238" s="452"/>
      <c r="F238" s="452"/>
      <c r="G238" s="452" t="s">
        <v>844</v>
      </c>
      <c r="H238" s="452"/>
      <c r="I238" s="453" t="s">
        <v>844</v>
      </c>
      <c r="J238" s="453"/>
      <c r="K238" s="461"/>
      <c r="L238" s="461"/>
      <c r="M238" s="461"/>
      <c r="N238" s="461"/>
      <c r="O238" s="461"/>
      <c r="P238" s="461"/>
      <c r="Q238" s="461"/>
      <c r="R238" s="461"/>
      <c r="S238" s="461"/>
      <c r="T238" s="461"/>
      <c r="U238" s="461"/>
      <c r="V238" s="461"/>
    </row>
    <row r="239" spans="1:22" s="455" customFormat="1" ht="12.75" hidden="1" customHeight="1">
      <c r="A239" s="455" t="str">
        <f t="shared" si="6"/>
        <v>T</v>
      </c>
      <c r="B239" s="455">
        <f>VLOOKUP(LEFT($C$3:$C$2600,3),Table!$N$2:$O$88,2,FALSE)</f>
        <v>0</v>
      </c>
      <c r="C239" s="535" t="str">
        <f t="shared" si="7"/>
        <v>T</v>
      </c>
      <c r="D239" s="455" t="e">
        <f>VLOOKUP(G239,Table!$Q$3:$R$21,2,FALSE)</f>
        <v>#N/A</v>
      </c>
      <c r="E239" s="452"/>
      <c r="F239" s="452"/>
      <c r="G239" s="452" t="s">
        <v>844</v>
      </c>
      <c r="H239" s="452"/>
      <c r="I239" s="453" t="s">
        <v>844</v>
      </c>
      <c r="J239" s="453"/>
      <c r="K239" s="461"/>
      <c r="L239" s="461"/>
      <c r="M239" s="461"/>
      <c r="N239" s="461"/>
      <c r="O239" s="461"/>
      <c r="P239" s="461"/>
      <c r="Q239" s="461"/>
      <c r="R239" s="461"/>
      <c r="S239" s="461"/>
      <c r="T239" s="461"/>
      <c r="U239" s="461"/>
      <c r="V239" s="461"/>
    </row>
    <row r="240" spans="1:22" s="455" customFormat="1" ht="12.75" hidden="1" customHeight="1">
      <c r="A240" s="455" t="str">
        <f t="shared" si="6"/>
        <v>T</v>
      </c>
      <c r="B240" s="455">
        <f>VLOOKUP(LEFT($C$3:$C$2600,3),Table!$N$2:$O$88,2,FALSE)</f>
        <v>0</v>
      </c>
      <c r="C240" s="535" t="str">
        <f t="shared" si="7"/>
        <v>T</v>
      </c>
      <c r="D240" s="455" t="e">
        <f>VLOOKUP(G240,Table!$Q$3:$R$21,2,FALSE)</f>
        <v>#N/A</v>
      </c>
      <c r="E240" s="452"/>
      <c r="F240" s="452"/>
      <c r="G240" s="452" t="s">
        <v>844</v>
      </c>
      <c r="H240" s="452"/>
      <c r="I240" s="453" t="s">
        <v>844</v>
      </c>
      <c r="J240" s="453"/>
      <c r="K240" s="461"/>
      <c r="L240" s="461"/>
      <c r="M240" s="461"/>
      <c r="N240" s="461"/>
      <c r="O240" s="461"/>
      <c r="P240" s="461"/>
      <c r="Q240" s="461"/>
      <c r="R240" s="461"/>
      <c r="S240" s="461"/>
      <c r="T240" s="461"/>
      <c r="U240" s="461"/>
      <c r="V240" s="461"/>
    </row>
    <row r="241" spans="1:22" s="455" customFormat="1" ht="12.75" hidden="1" customHeight="1">
      <c r="A241" s="455" t="str">
        <f t="shared" si="6"/>
        <v>T</v>
      </c>
      <c r="B241" s="455">
        <f>VLOOKUP(LEFT($C$3:$C$2600,3),Table!$N$2:$O$88,2,FALSE)</f>
        <v>0</v>
      </c>
      <c r="C241" s="535" t="str">
        <f t="shared" si="7"/>
        <v>T</v>
      </c>
      <c r="D241" s="455" t="e">
        <f>VLOOKUP(G241,Table!$Q$3:$R$21,2,FALSE)</f>
        <v>#N/A</v>
      </c>
      <c r="E241" s="452"/>
      <c r="F241" s="452"/>
      <c r="G241" s="452" t="s">
        <v>844</v>
      </c>
      <c r="H241" s="452"/>
      <c r="I241" s="453" t="s">
        <v>844</v>
      </c>
      <c r="J241" s="453"/>
      <c r="K241" s="461"/>
      <c r="L241" s="461"/>
      <c r="M241" s="461"/>
      <c r="N241" s="461"/>
      <c r="O241" s="461"/>
      <c r="P241" s="461"/>
      <c r="Q241" s="461"/>
      <c r="R241" s="461"/>
      <c r="S241" s="461"/>
      <c r="T241" s="461"/>
      <c r="U241" s="461"/>
      <c r="V241" s="461"/>
    </row>
    <row r="242" spans="1:22" s="455" customFormat="1" ht="12.75" hidden="1" customHeight="1">
      <c r="A242" s="455" t="str">
        <f t="shared" ref="A242:A247" si="8">F242&amp;G242</f>
        <v>T</v>
      </c>
      <c r="B242" s="455">
        <f>VLOOKUP(LEFT($C$3:$C$2600,3),Table!$N$2:$O$88,2,FALSE)</f>
        <v>0</v>
      </c>
      <c r="C242" s="535" t="str">
        <f t="shared" ref="C242:C247" si="9">IF(ISNA(D242),G242,D242)</f>
        <v>T</v>
      </c>
      <c r="D242" s="455" t="e">
        <f>VLOOKUP(G242,Table!$Q$3:$R$21,2,FALSE)</f>
        <v>#N/A</v>
      </c>
      <c r="E242" s="452"/>
      <c r="F242" s="452"/>
      <c r="G242" s="452" t="s">
        <v>844</v>
      </c>
      <c r="H242" s="452"/>
      <c r="I242" s="453" t="s">
        <v>844</v>
      </c>
      <c r="J242" s="453"/>
      <c r="K242" s="461"/>
      <c r="L242" s="461"/>
      <c r="M242" s="461"/>
      <c r="N242" s="461"/>
      <c r="O242" s="461"/>
      <c r="P242" s="461"/>
      <c r="Q242" s="461"/>
      <c r="R242" s="461"/>
      <c r="S242" s="461"/>
      <c r="T242" s="461"/>
      <c r="U242" s="461"/>
      <c r="V242" s="461"/>
    </row>
    <row r="243" spans="1:22" s="455" customFormat="1" ht="12.75" hidden="1" customHeight="1">
      <c r="A243" s="455" t="str">
        <f t="shared" si="8"/>
        <v>T</v>
      </c>
      <c r="B243" s="455">
        <f>VLOOKUP(LEFT($C$3:$C$2600,3),Table!$N$2:$O$88,2,FALSE)</f>
        <v>0</v>
      </c>
      <c r="C243" s="535" t="str">
        <f t="shared" si="9"/>
        <v>T</v>
      </c>
      <c r="D243" s="455" t="e">
        <f>VLOOKUP(G243,Table!$Q$3:$R$21,2,FALSE)</f>
        <v>#N/A</v>
      </c>
      <c r="E243" s="452"/>
      <c r="F243" s="452"/>
      <c r="G243" s="452" t="s">
        <v>844</v>
      </c>
      <c r="H243" s="452"/>
      <c r="I243" s="453" t="s">
        <v>844</v>
      </c>
      <c r="J243" s="453"/>
      <c r="K243" s="461"/>
      <c r="L243" s="461"/>
      <c r="M243" s="461"/>
      <c r="N243" s="461"/>
      <c r="O243" s="461"/>
      <c r="P243" s="461"/>
      <c r="Q243" s="461"/>
      <c r="R243" s="461"/>
      <c r="S243" s="461"/>
      <c r="T243" s="461"/>
      <c r="U243" s="461"/>
      <c r="V243" s="461"/>
    </row>
    <row r="244" spans="1:22" s="455" customFormat="1" ht="12.75" hidden="1" customHeight="1">
      <c r="A244" s="455" t="str">
        <f t="shared" si="8"/>
        <v>T</v>
      </c>
      <c r="B244" s="455">
        <f>VLOOKUP(LEFT($C$3:$C$2600,3),Table!$N$2:$O$88,2,FALSE)</f>
        <v>0</v>
      </c>
      <c r="C244" s="535" t="str">
        <f t="shared" si="9"/>
        <v>T</v>
      </c>
      <c r="D244" s="455" t="e">
        <f>VLOOKUP(G244,Table!$Q$3:$R$21,2,FALSE)</f>
        <v>#N/A</v>
      </c>
      <c r="E244" s="452"/>
      <c r="F244" s="452"/>
      <c r="G244" s="452" t="s">
        <v>844</v>
      </c>
      <c r="H244" s="452"/>
      <c r="I244" s="453" t="s">
        <v>844</v>
      </c>
      <c r="J244" s="453"/>
      <c r="K244" s="461"/>
      <c r="L244" s="461"/>
      <c r="M244" s="461"/>
      <c r="N244" s="461"/>
      <c r="O244" s="461"/>
      <c r="P244" s="461"/>
      <c r="Q244" s="461"/>
      <c r="R244" s="461"/>
      <c r="S244" s="461"/>
      <c r="T244" s="461"/>
      <c r="U244" s="461"/>
      <c r="V244" s="461"/>
    </row>
    <row r="245" spans="1:22" s="455" customFormat="1" ht="12.75" hidden="1" customHeight="1">
      <c r="A245" s="455" t="str">
        <f t="shared" si="8"/>
        <v>T</v>
      </c>
      <c r="B245" s="455">
        <f>VLOOKUP(LEFT($C$3:$C$2600,3),Table!$N$2:$O$88,2,FALSE)</f>
        <v>0</v>
      </c>
      <c r="C245" s="535" t="str">
        <f t="shared" si="9"/>
        <v>T</v>
      </c>
      <c r="D245" s="455" t="e">
        <f>VLOOKUP(G245,Table!$Q$3:$R$21,2,FALSE)</f>
        <v>#N/A</v>
      </c>
      <c r="E245" s="452"/>
      <c r="F245" s="452"/>
      <c r="G245" s="452" t="s">
        <v>844</v>
      </c>
      <c r="H245" s="452"/>
      <c r="I245" s="453" t="s">
        <v>844</v>
      </c>
      <c r="J245" s="453"/>
      <c r="K245" s="461"/>
      <c r="L245" s="461"/>
      <c r="M245" s="461"/>
      <c r="N245" s="461"/>
      <c r="O245" s="461"/>
      <c r="P245" s="461"/>
      <c r="Q245" s="461"/>
      <c r="R245" s="461"/>
      <c r="S245" s="461"/>
      <c r="T245" s="461"/>
      <c r="U245" s="461"/>
      <c r="V245" s="461"/>
    </row>
    <row r="246" spans="1:22" s="455" customFormat="1" ht="12.75" hidden="1" customHeight="1">
      <c r="A246" s="455" t="str">
        <f t="shared" si="8"/>
        <v>T</v>
      </c>
      <c r="B246" s="455">
        <f>VLOOKUP(LEFT($C$3:$C$2600,3),Table!$N$2:$O$88,2,FALSE)</f>
        <v>0</v>
      </c>
      <c r="C246" s="535" t="str">
        <f t="shared" si="9"/>
        <v>T</v>
      </c>
      <c r="D246" s="455" t="e">
        <f>VLOOKUP(G246,Table!$Q$3:$R$21,2,FALSE)</f>
        <v>#N/A</v>
      </c>
      <c r="E246" s="452"/>
      <c r="F246" s="452"/>
      <c r="G246" s="452" t="s">
        <v>844</v>
      </c>
      <c r="H246" s="452"/>
      <c r="I246" s="453" t="s">
        <v>844</v>
      </c>
      <c r="J246" s="453"/>
      <c r="K246" s="461"/>
      <c r="L246" s="461"/>
      <c r="M246" s="461"/>
      <c r="N246" s="461"/>
      <c r="O246" s="461"/>
      <c r="P246" s="461"/>
      <c r="Q246" s="461"/>
      <c r="R246" s="461"/>
      <c r="S246" s="461"/>
      <c r="T246" s="461"/>
      <c r="U246" s="461"/>
      <c r="V246" s="461"/>
    </row>
    <row r="247" spans="1:22" s="455" customFormat="1" ht="12.75" hidden="1" customHeight="1">
      <c r="A247" s="455" t="str">
        <f t="shared" si="8"/>
        <v>T</v>
      </c>
      <c r="B247" s="455">
        <f>VLOOKUP(LEFT($C$3:$C$2600,3),Table!$N$2:$O$88,2,FALSE)</f>
        <v>0</v>
      </c>
      <c r="C247" s="535" t="str">
        <f t="shared" si="9"/>
        <v>T</v>
      </c>
      <c r="D247" s="455" t="e">
        <f>VLOOKUP(G247,Table!$Q$3:$R$21,2,FALSE)</f>
        <v>#N/A</v>
      </c>
      <c r="E247" s="452"/>
      <c r="F247" s="452"/>
      <c r="G247" s="452" t="s">
        <v>844</v>
      </c>
      <c r="H247" s="452"/>
      <c r="I247" s="453" t="s">
        <v>844</v>
      </c>
      <c r="J247" s="453"/>
      <c r="K247" s="461"/>
      <c r="L247" s="461"/>
      <c r="M247" s="461"/>
      <c r="N247" s="461"/>
      <c r="O247" s="461"/>
      <c r="P247" s="461"/>
      <c r="Q247" s="461"/>
      <c r="R247" s="461"/>
      <c r="S247" s="461"/>
      <c r="T247" s="461"/>
      <c r="U247" s="461"/>
      <c r="V247" s="461"/>
    </row>
    <row r="248" spans="1:22" s="455" customFormat="1" ht="12.75" hidden="1" customHeight="1">
      <c r="E248" s="452"/>
      <c r="F248" s="452"/>
      <c r="G248" s="452" t="s">
        <v>844</v>
      </c>
      <c r="H248" s="452"/>
      <c r="I248" s="453" t="s">
        <v>844</v>
      </c>
      <c r="J248" s="453"/>
      <c r="K248" s="461"/>
      <c r="L248" s="461"/>
      <c r="M248" s="461"/>
      <c r="N248" s="461"/>
      <c r="O248" s="461"/>
      <c r="P248" s="461"/>
      <c r="Q248" s="461"/>
      <c r="R248" s="461"/>
      <c r="S248" s="461"/>
      <c r="T248" s="461"/>
      <c r="U248" s="461"/>
      <c r="V248" s="461"/>
    </row>
    <row r="249" spans="1:22" s="455" customFormat="1" ht="12.75" hidden="1" customHeight="1">
      <c r="E249" s="452"/>
      <c r="F249" s="452"/>
      <c r="G249" s="452" t="s">
        <v>844</v>
      </c>
      <c r="H249" s="452"/>
      <c r="I249" s="453" t="s">
        <v>844</v>
      </c>
      <c r="J249" s="453"/>
      <c r="K249" s="461"/>
      <c r="L249" s="461"/>
      <c r="M249" s="461"/>
      <c r="N249" s="461"/>
      <c r="O249" s="461"/>
      <c r="P249" s="461"/>
      <c r="Q249" s="461"/>
      <c r="R249" s="461"/>
      <c r="S249" s="461"/>
      <c r="T249" s="461"/>
      <c r="U249" s="461"/>
      <c r="V249" s="461"/>
    </row>
    <row r="250" spans="1:22" s="455" customFormat="1" ht="12.75" hidden="1" customHeight="1">
      <c r="E250" s="452"/>
      <c r="F250" s="452"/>
      <c r="G250" s="452" t="s">
        <v>844</v>
      </c>
      <c r="H250" s="452"/>
      <c r="I250" s="453" t="s">
        <v>844</v>
      </c>
      <c r="J250" s="453"/>
      <c r="K250" s="461"/>
      <c r="L250" s="461"/>
      <c r="M250" s="461"/>
      <c r="N250" s="461"/>
      <c r="O250" s="461"/>
      <c r="P250" s="461"/>
      <c r="Q250" s="461"/>
      <c r="R250" s="461"/>
      <c r="S250" s="461"/>
      <c r="T250" s="461"/>
      <c r="U250" s="461"/>
      <c r="V250" s="461"/>
    </row>
    <row r="251" spans="1:22" s="455" customFormat="1" ht="12.75" hidden="1" customHeight="1">
      <c r="E251" s="452"/>
      <c r="F251" s="452"/>
      <c r="G251" s="452" t="s">
        <v>844</v>
      </c>
      <c r="H251" s="452"/>
      <c r="I251" s="453" t="s">
        <v>844</v>
      </c>
      <c r="J251" s="453"/>
      <c r="K251" s="461"/>
      <c r="L251" s="461"/>
      <c r="M251" s="461"/>
      <c r="N251" s="461"/>
      <c r="O251" s="461"/>
      <c r="P251" s="461"/>
      <c r="Q251" s="461"/>
      <c r="R251" s="461"/>
      <c r="S251" s="461"/>
      <c r="T251" s="461"/>
      <c r="U251" s="461"/>
      <c r="V251" s="461"/>
    </row>
    <row r="252" spans="1:22" s="455" customFormat="1" ht="12.75" hidden="1" customHeight="1">
      <c r="E252" s="452"/>
      <c r="F252" s="452"/>
      <c r="G252" s="452" t="s">
        <v>844</v>
      </c>
      <c r="H252" s="452"/>
      <c r="I252" s="453" t="s">
        <v>844</v>
      </c>
      <c r="J252" s="453"/>
      <c r="K252" s="461"/>
      <c r="L252" s="461"/>
      <c r="M252" s="461"/>
      <c r="N252" s="461"/>
      <c r="O252" s="461"/>
      <c r="P252" s="461"/>
      <c r="Q252" s="461"/>
      <c r="R252" s="461"/>
      <c r="S252" s="461"/>
      <c r="T252" s="461"/>
      <c r="U252" s="461"/>
      <c r="V252" s="461"/>
    </row>
    <row r="253" spans="1:22" s="455" customFormat="1" ht="12.75" hidden="1" customHeight="1">
      <c r="E253" s="452"/>
      <c r="F253" s="452"/>
      <c r="G253" s="452" t="s">
        <v>844</v>
      </c>
      <c r="H253" s="452"/>
      <c r="I253" s="453" t="s">
        <v>844</v>
      </c>
      <c r="J253" s="453"/>
      <c r="K253" s="461"/>
      <c r="L253" s="461"/>
      <c r="M253" s="461"/>
      <c r="N253" s="461"/>
      <c r="O253" s="461"/>
      <c r="P253" s="461"/>
      <c r="Q253" s="461"/>
      <c r="R253" s="461"/>
      <c r="S253" s="461"/>
      <c r="T253" s="461"/>
      <c r="U253" s="461"/>
      <c r="V253" s="461"/>
    </row>
    <row r="254" spans="1:22" s="455" customFormat="1" ht="12.75" hidden="1" customHeight="1">
      <c r="E254" s="452"/>
      <c r="F254" s="452"/>
      <c r="G254" s="452" t="s">
        <v>844</v>
      </c>
      <c r="H254" s="452"/>
      <c r="I254" s="453" t="s">
        <v>844</v>
      </c>
      <c r="J254" s="453"/>
      <c r="K254" s="461"/>
      <c r="L254" s="461"/>
      <c r="M254" s="461"/>
      <c r="N254" s="461"/>
      <c r="O254" s="461"/>
      <c r="P254" s="461"/>
      <c r="Q254" s="461"/>
      <c r="R254" s="461"/>
      <c r="S254" s="461"/>
      <c r="T254" s="461"/>
      <c r="U254" s="461"/>
      <c r="V254" s="461"/>
    </row>
    <row r="255" spans="1:22" s="455" customFormat="1" ht="12.75" hidden="1" customHeight="1">
      <c r="E255" s="452"/>
      <c r="F255" s="452"/>
      <c r="G255" s="452" t="s">
        <v>844</v>
      </c>
      <c r="H255" s="452"/>
      <c r="I255" s="453" t="s">
        <v>844</v>
      </c>
      <c r="J255" s="453"/>
      <c r="K255" s="461"/>
      <c r="L255" s="461"/>
      <c r="M255" s="461"/>
      <c r="N255" s="461"/>
      <c r="O255" s="461"/>
      <c r="P255" s="461"/>
      <c r="Q255" s="461"/>
      <c r="R255" s="461"/>
      <c r="S255" s="461"/>
      <c r="T255" s="461"/>
      <c r="U255" s="461"/>
      <c r="V255" s="461"/>
    </row>
    <row r="256" spans="1:22" s="455" customFormat="1" ht="12.75" hidden="1" customHeight="1">
      <c r="E256" s="452"/>
      <c r="F256" s="452"/>
      <c r="G256" s="452" t="s">
        <v>844</v>
      </c>
      <c r="H256" s="452"/>
      <c r="I256" s="453" t="s">
        <v>844</v>
      </c>
      <c r="J256" s="453"/>
      <c r="K256" s="461"/>
      <c r="L256" s="461"/>
      <c r="M256" s="461"/>
      <c r="N256" s="461"/>
      <c r="O256" s="461"/>
      <c r="P256" s="461"/>
      <c r="Q256" s="461"/>
      <c r="R256" s="461"/>
      <c r="S256" s="461"/>
      <c r="T256" s="461"/>
      <c r="U256" s="461"/>
      <c r="V256" s="461"/>
    </row>
    <row r="257" spans="5:22" s="455" customFormat="1" ht="12.75" hidden="1" customHeight="1">
      <c r="E257" s="452"/>
      <c r="F257" s="452"/>
      <c r="G257" s="452" t="s">
        <v>844</v>
      </c>
      <c r="H257" s="452"/>
      <c r="I257" s="453" t="s">
        <v>844</v>
      </c>
      <c r="J257" s="453"/>
      <c r="K257" s="461"/>
      <c r="L257" s="461"/>
      <c r="M257" s="461"/>
      <c r="N257" s="461"/>
      <c r="O257" s="461"/>
      <c r="P257" s="461"/>
      <c r="Q257" s="461"/>
      <c r="R257" s="461"/>
      <c r="S257" s="461"/>
      <c r="T257" s="461"/>
      <c r="U257" s="461"/>
      <c r="V257" s="461"/>
    </row>
    <row r="258" spans="5:22" s="455" customFormat="1" ht="12.75" hidden="1" customHeight="1">
      <c r="E258" s="452"/>
      <c r="F258" s="452"/>
      <c r="G258" s="452" t="s">
        <v>844</v>
      </c>
      <c r="H258" s="452"/>
      <c r="I258" s="453" t="s">
        <v>844</v>
      </c>
      <c r="J258" s="453"/>
      <c r="K258" s="461"/>
      <c r="L258" s="461"/>
      <c r="M258" s="461"/>
      <c r="N258" s="461"/>
      <c r="O258" s="461"/>
      <c r="P258" s="461"/>
      <c r="Q258" s="461"/>
      <c r="R258" s="461"/>
      <c r="S258" s="461"/>
      <c r="T258" s="461"/>
      <c r="U258" s="461"/>
      <c r="V258" s="461"/>
    </row>
    <row r="259" spans="5:22" s="455" customFormat="1" ht="12.75" hidden="1" customHeight="1">
      <c r="E259" s="452"/>
      <c r="F259" s="452"/>
      <c r="G259" s="452" t="s">
        <v>844</v>
      </c>
      <c r="H259" s="452"/>
      <c r="I259" s="453" t="s">
        <v>844</v>
      </c>
      <c r="J259" s="453"/>
      <c r="K259" s="461"/>
      <c r="L259" s="461"/>
      <c r="M259" s="461"/>
      <c r="N259" s="461"/>
      <c r="O259" s="461"/>
      <c r="P259" s="461"/>
      <c r="Q259" s="461"/>
      <c r="R259" s="461"/>
      <c r="S259" s="461"/>
      <c r="T259" s="461"/>
      <c r="U259" s="461"/>
      <c r="V259" s="461"/>
    </row>
    <row r="260" spans="5:22" s="455" customFormat="1" ht="12.75" hidden="1" customHeight="1">
      <c r="E260" s="452"/>
      <c r="F260" s="452"/>
      <c r="G260" s="452" t="s">
        <v>844</v>
      </c>
      <c r="H260" s="452"/>
      <c r="I260" s="453" t="s">
        <v>844</v>
      </c>
      <c r="J260" s="453"/>
      <c r="K260" s="461"/>
      <c r="L260" s="461"/>
      <c r="M260" s="461"/>
      <c r="N260" s="461"/>
      <c r="O260" s="461"/>
      <c r="P260" s="461"/>
      <c r="Q260" s="461"/>
      <c r="R260" s="461"/>
      <c r="S260" s="461"/>
      <c r="T260" s="461"/>
      <c r="U260" s="461"/>
      <c r="V260" s="461"/>
    </row>
    <row r="261" spans="5:22" s="455" customFormat="1" ht="12.75" hidden="1" customHeight="1">
      <c r="E261" s="452"/>
      <c r="F261" s="452"/>
      <c r="G261" s="452" t="s">
        <v>844</v>
      </c>
      <c r="H261" s="452"/>
      <c r="I261" s="453" t="s">
        <v>844</v>
      </c>
      <c r="J261" s="453"/>
      <c r="K261" s="461"/>
      <c r="L261" s="461"/>
      <c r="M261" s="461"/>
      <c r="N261" s="461"/>
      <c r="O261" s="461"/>
      <c r="P261" s="461"/>
      <c r="Q261" s="461"/>
      <c r="R261" s="461"/>
      <c r="S261" s="461"/>
      <c r="T261" s="461"/>
      <c r="U261" s="461"/>
      <c r="V261" s="461"/>
    </row>
    <row r="262" spans="5:22" s="455" customFormat="1" ht="12.75" hidden="1" customHeight="1">
      <c r="E262" s="452"/>
      <c r="F262" s="452"/>
      <c r="G262" s="452" t="s">
        <v>844</v>
      </c>
      <c r="H262" s="452"/>
      <c r="I262" s="453" t="s">
        <v>844</v>
      </c>
      <c r="J262" s="453"/>
      <c r="K262" s="461"/>
      <c r="L262" s="461"/>
      <c r="M262" s="461"/>
      <c r="N262" s="461"/>
      <c r="O262" s="461"/>
      <c r="P262" s="461"/>
      <c r="Q262" s="461"/>
      <c r="R262" s="461"/>
      <c r="S262" s="461"/>
      <c r="T262" s="461"/>
      <c r="U262" s="461"/>
      <c r="V262" s="461"/>
    </row>
    <row r="263" spans="5:22" s="455" customFormat="1" ht="12.75" hidden="1" customHeight="1">
      <c r="E263" s="452"/>
      <c r="F263" s="452"/>
      <c r="G263" s="452" t="s">
        <v>844</v>
      </c>
      <c r="H263" s="452"/>
      <c r="I263" s="453" t="s">
        <v>844</v>
      </c>
      <c r="J263" s="453"/>
      <c r="K263" s="461"/>
      <c r="L263" s="461"/>
      <c r="M263" s="461"/>
      <c r="N263" s="461"/>
      <c r="O263" s="461"/>
      <c r="P263" s="461"/>
      <c r="Q263" s="461"/>
      <c r="R263" s="461"/>
      <c r="S263" s="461"/>
      <c r="T263" s="461"/>
      <c r="U263" s="461"/>
      <c r="V263" s="461"/>
    </row>
    <row r="264" spans="5:22" s="455" customFormat="1" ht="12.75" hidden="1" customHeight="1">
      <c r="E264" s="452"/>
      <c r="F264" s="452"/>
      <c r="G264" s="452" t="s">
        <v>844</v>
      </c>
      <c r="H264" s="452"/>
      <c r="I264" s="453" t="s">
        <v>844</v>
      </c>
      <c r="J264" s="453"/>
      <c r="K264" s="461"/>
      <c r="L264" s="461"/>
      <c r="M264" s="461"/>
      <c r="N264" s="461"/>
      <c r="O264" s="461"/>
      <c r="P264" s="461"/>
      <c r="Q264" s="461"/>
      <c r="R264" s="461"/>
      <c r="S264" s="461"/>
      <c r="T264" s="461"/>
      <c r="U264" s="461"/>
      <c r="V264" s="461"/>
    </row>
    <row r="265" spans="5:22" s="455" customFormat="1" ht="12.75" hidden="1" customHeight="1">
      <c r="E265" s="452"/>
      <c r="F265" s="452"/>
      <c r="G265" s="452" t="s">
        <v>844</v>
      </c>
      <c r="H265" s="452"/>
      <c r="I265" s="453" t="s">
        <v>844</v>
      </c>
      <c r="J265" s="453"/>
      <c r="K265" s="461"/>
      <c r="L265" s="461"/>
      <c r="M265" s="461"/>
      <c r="N265" s="461"/>
      <c r="O265" s="461"/>
      <c r="P265" s="461"/>
      <c r="Q265" s="461"/>
      <c r="R265" s="461"/>
      <c r="S265" s="461"/>
      <c r="T265" s="461"/>
      <c r="U265" s="461"/>
      <c r="V265" s="461"/>
    </row>
    <row r="266" spans="5:22" s="455" customFormat="1" ht="12.75" hidden="1" customHeight="1">
      <c r="E266" s="452"/>
      <c r="F266" s="452"/>
      <c r="G266" s="452" t="s">
        <v>844</v>
      </c>
      <c r="H266" s="452"/>
      <c r="I266" s="453" t="s">
        <v>844</v>
      </c>
      <c r="J266" s="453"/>
      <c r="K266" s="461"/>
      <c r="L266" s="461"/>
      <c r="M266" s="461"/>
      <c r="N266" s="461"/>
      <c r="O266" s="461"/>
      <c r="P266" s="461"/>
      <c r="Q266" s="461"/>
      <c r="R266" s="461"/>
      <c r="S266" s="461"/>
      <c r="T266" s="461"/>
      <c r="U266" s="461"/>
      <c r="V266" s="461"/>
    </row>
    <row r="267" spans="5:22" s="455" customFormat="1" ht="12.75" hidden="1" customHeight="1">
      <c r="E267" s="452"/>
      <c r="F267" s="452"/>
      <c r="G267" s="452" t="s">
        <v>844</v>
      </c>
      <c r="H267" s="452"/>
      <c r="I267" s="453" t="s">
        <v>844</v>
      </c>
      <c r="J267" s="453"/>
      <c r="K267" s="461"/>
      <c r="L267" s="461"/>
      <c r="M267" s="461"/>
      <c r="N267" s="461"/>
      <c r="O267" s="461"/>
      <c r="P267" s="461"/>
      <c r="Q267" s="461"/>
      <c r="R267" s="461"/>
      <c r="S267" s="461"/>
      <c r="T267" s="461"/>
      <c r="U267" s="461"/>
      <c r="V267" s="461"/>
    </row>
    <row r="268" spans="5:22" s="455" customFormat="1" ht="12.75" hidden="1" customHeight="1">
      <c r="E268" s="452"/>
      <c r="F268" s="452"/>
      <c r="G268" s="452" t="s">
        <v>844</v>
      </c>
      <c r="H268" s="452"/>
      <c r="I268" s="453" t="s">
        <v>844</v>
      </c>
      <c r="J268" s="453"/>
      <c r="K268" s="461"/>
      <c r="L268" s="461"/>
      <c r="M268" s="461"/>
      <c r="N268" s="461"/>
      <c r="O268" s="461"/>
      <c r="P268" s="461"/>
      <c r="Q268" s="461"/>
      <c r="R268" s="461"/>
      <c r="S268" s="461"/>
      <c r="T268" s="461"/>
      <c r="U268" s="461"/>
      <c r="V268" s="461"/>
    </row>
    <row r="269" spans="5:22" s="455" customFormat="1" ht="12.75" hidden="1" customHeight="1">
      <c r="E269" s="452"/>
      <c r="F269" s="452"/>
      <c r="G269" s="452" t="s">
        <v>844</v>
      </c>
      <c r="H269" s="452"/>
      <c r="I269" s="453" t="s">
        <v>844</v>
      </c>
      <c r="J269" s="453"/>
      <c r="K269" s="461"/>
      <c r="L269" s="461"/>
      <c r="M269" s="461"/>
      <c r="N269" s="461"/>
      <c r="O269" s="461"/>
      <c r="P269" s="461"/>
      <c r="Q269" s="461"/>
      <c r="R269" s="461"/>
      <c r="S269" s="461"/>
      <c r="T269" s="461"/>
      <c r="U269" s="461"/>
      <c r="V269" s="461"/>
    </row>
    <row r="270" spans="5:22" s="455" customFormat="1" ht="12.75" hidden="1" customHeight="1">
      <c r="E270" s="452"/>
      <c r="F270" s="452"/>
      <c r="G270" s="452" t="s">
        <v>844</v>
      </c>
      <c r="H270" s="452"/>
      <c r="I270" s="453" t="s">
        <v>844</v>
      </c>
      <c r="J270" s="453"/>
      <c r="K270" s="461"/>
      <c r="L270" s="461"/>
      <c r="M270" s="461"/>
      <c r="N270" s="461"/>
      <c r="O270" s="461"/>
      <c r="P270" s="461"/>
      <c r="Q270" s="461"/>
      <c r="R270" s="461"/>
      <c r="S270" s="461"/>
      <c r="T270" s="461"/>
      <c r="U270" s="461"/>
      <c r="V270" s="461"/>
    </row>
    <row r="271" spans="5:22" s="455" customFormat="1" ht="12.75" hidden="1" customHeight="1">
      <c r="E271" s="452"/>
      <c r="F271" s="452"/>
      <c r="G271" s="452" t="s">
        <v>844</v>
      </c>
      <c r="H271" s="452"/>
      <c r="I271" s="453" t="s">
        <v>844</v>
      </c>
      <c r="J271" s="453"/>
      <c r="K271" s="461"/>
      <c r="L271" s="461"/>
      <c r="M271" s="461"/>
      <c r="N271" s="461"/>
      <c r="O271" s="461"/>
      <c r="P271" s="461"/>
      <c r="Q271" s="461"/>
      <c r="R271" s="461"/>
      <c r="S271" s="461"/>
      <c r="T271" s="461"/>
      <c r="U271" s="461"/>
      <c r="V271" s="461"/>
    </row>
    <row r="272" spans="5:22" s="455" customFormat="1" ht="12.75" hidden="1" customHeight="1">
      <c r="E272" s="452"/>
      <c r="F272" s="452"/>
      <c r="G272" s="452" t="s">
        <v>844</v>
      </c>
      <c r="H272" s="452"/>
      <c r="I272" s="453" t="s">
        <v>844</v>
      </c>
      <c r="J272" s="453"/>
      <c r="K272" s="461"/>
      <c r="L272" s="461"/>
      <c r="M272" s="461"/>
      <c r="N272" s="461"/>
      <c r="O272" s="461"/>
      <c r="P272" s="461"/>
      <c r="Q272" s="461"/>
      <c r="R272" s="461"/>
      <c r="S272" s="461"/>
      <c r="T272" s="461"/>
      <c r="U272" s="461"/>
      <c r="V272" s="461"/>
    </row>
    <row r="273" spans="5:22" s="455" customFormat="1" ht="12.75" hidden="1" customHeight="1">
      <c r="E273" s="452"/>
      <c r="F273" s="452"/>
      <c r="G273" s="452" t="s">
        <v>844</v>
      </c>
      <c r="H273" s="452"/>
      <c r="I273" s="453" t="s">
        <v>844</v>
      </c>
      <c r="J273" s="453"/>
      <c r="K273" s="461"/>
      <c r="L273" s="461"/>
      <c r="M273" s="461"/>
      <c r="N273" s="461"/>
      <c r="O273" s="461"/>
      <c r="P273" s="461"/>
      <c r="Q273" s="461"/>
      <c r="R273" s="461"/>
      <c r="S273" s="461"/>
      <c r="T273" s="461"/>
      <c r="U273" s="461"/>
      <c r="V273" s="461"/>
    </row>
    <row r="274" spans="5:22" s="455" customFormat="1" ht="12.75" hidden="1" customHeight="1">
      <c r="E274" s="452"/>
      <c r="F274" s="452"/>
      <c r="G274" s="452" t="s">
        <v>844</v>
      </c>
      <c r="H274" s="452"/>
      <c r="I274" s="453" t="s">
        <v>844</v>
      </c>
      <c r="J274" s="453"/>
      <c r="K274" s="461"/>
      <c r="L274" s="461"/>
      <c r="M274" s="461"/>
      <c r="N274" s="461"/>
      <c r="O274" s="461"/>
      <c r="P274" s="461"/>
      <c r="Q274" s="461"/>
      <c r="R274" s="461"/>
      <c r="S274" s="461"/>
      <c r="T274" s="461"/>
      <c r="U274" s="461"/>
      <c r="V274" s="461"/>
    </row>
    <row r="275" spans="5:22" s="455" customFormat="1" ht="12.75" hidden="1" customHeight="1">
      <c r="E275" s="452"/>
      <c r="F275" s="452"/>
      <c r="G275" s="452" t="s">
        <v>844</v>
      </c>
      <c r="H275" s="452"/>
      <c r="I275" s="453" t="s">
        <v>844</v>
      </c>
      <c r="J275" s="453"/>
      <c r="K275" s="461"/>
      <c r="L275" s="461"/>
      <c r="M275" s="461"/>
      <c r="N275" s="461"/>
      <c r="O275" s="461"/>
      <c r="P275" s="461"/>
      <c r="Q275" s="461"/>
      <c r="R275" s="461"/>
      <c r="S275" s="461"/>
      <c r="T275" s="461"/>
      <c r="U275" s="461"/>
      <c r="V275" s="461"/>
    </row>
    <row r="276" spans="5:22" s="455" customFormat="1" ht="12.75" hidden="1" customHeight="1">
      <c r="E276" s="452"/>
      <c r="F276" s="452"/>
      <c r="G276" s="452" t="s">
        <v>844</v>
      </c>
      <c r="H276" s="452"/>
      <c r="I276" s="453" t="s">
        <v>844</v>
      </c>
      <c r="J276" s="453"/>
      <c r="K276" s="461"/>
      <c r="L276" s="461"/>
      <c r="M276" s="461"/>
      <c r="N276" s="461"/>
      <c r="O276" s="461"/>
      <c r="P276" s="461"/>
      <c r="Q276" s="461"/>
      <c r="R276" s="461"/>
      <c r="S276" s="461"/>
      <c r="T276" s="461"/>
      <c r="U276" s="461"/>
      <c r="V276" s="461"/>
    </row>
    <row r="277" spans="5:22" s="455" customFormat="1" ht="12.75" hidden="1" customHeight="1">
      <c r="E277" s="452"/>
      <c r="F277" s="452"/>
      <c r="G277" s="452" t="s">
        <v>844</v>
      </c>
      <c r="H277" s="452"/>
      <c r="I277" s="453" t="s">
        <v>844</v>
      </c>
      <c r="J277" s="453"/>
      <c r="K277" s="461"/>
      <c r="L277" s="461"/>
      <c r="M277" s="461"/>
      <c r="N277" s="461"/>
      <c r="O277" s="461"/>
      <c r="P277" s="461"/>
      <c r="Q277" s="461"/>
      <c r="R277" s="461"/>
      <c r="S277" s="461"/>
      <c r="T277" s="461"/>
      <c r="U277" s="461"/>
      <c r="V277" s="461"/>
    </row>
    <row r="278" spans="5:22" s="455" customFormat="1" ht="12.75" hidden="1" customHeight="1">
      <c r="E278" s="452"/>
      <c r="F278" s="452"/>
      <c r="G278" s="452" t="s">
        <v>844</v>
      </c>
      <c r="H278" s="452"/>
      <c r="I278" s="453" t="s">
        <v>844</v>
      </c>
      <c r="J278" s="453"/>
      <c r="K278" s="461"/>
      <c r="L278" s="461"/>
      <c r="M278" s="461"/>
      <c r="N278" s="461"/>
      <c r="O278" s="461"/>
      <c r="P278" s="461"/>
      <c r="Q278" s="461"/>
      <c r="R278" s="461"/>
      <c r="S278" s="461"/>
      <c r="T278" s="461"/>
      <c r="U278" s="461"/>
      <c r="V278" s="461"/>
    </row>
    <row r="279" spans="5:22" s="455" customFormat="1" ht="12.75" hidden="1" customHeight="1">
      <c r="E279" s="452"/>
      <c r="F279" s="452"/>
      <c r="G279" s="452" t="s">
        <v>844</v>
      </c>
      <c r="H279" s="452"/>
      <c r="I279" s="453" t="s">
        <v>844</v>
      </c>
      <c r="J279" s="453"/>
      <c r="K279" s="461"/>
      <c r="L279" s="461"/>
      <c r="M279" s="461"/>
      <c r="N279" s="461"/>
      <c r="O279" s="461"/>
      <c r="P279" s="461"/>
      <c r="Q279" s="461"/>
      <c r="R279" s="461"/>
      <c r="S279" s="461"/>
      <c r="T279" s="461"/>
      <c r="U279" s="461"/>
      <c r="V279" s="461"/>
    </row>
    <row r="280" spans="5:22" s="455" customFormat="1" ht="12.75" hidden="1" customHeight="1">
      <c r="E280" s="452"/>
      <c r="F280" s="452"/>
      <c r="G280" s="452" t="s">
        <v>844</v>
      </c>
      <c r="H280" s="452"/>
      <c r="I280" s="453" t="s">
        <v>844</v>
      </c>
      <c r="J280" s="453"/>
      <c r="K280" s="461"/>
      <c r="L280" s="461"/>
      <c r="M280" s="461"/>
      <c r="N280" s="461"/>
      <c r="O280" s="461"/>
      <c r="P280" s="461"/>
      <c r="Q280" s="461"/>
      <c r="R280" s="461"/>
      <c r="S280" s="461"/>
      <c r="T280" s="461"/>
      <c r="U280" s="461"/>
      <c r="V280" s="461"/>
    </row>
    <row r="281" spans="5:22" s="455" customFormat="1" ht="12.75" hidden="1" customHeight="1">
      <c r="E281" s="452"/>
      <c r="F281" s="452"/>
      <c r="G281" s="452" t="s">
        <v>844</v>
      </c>
      <c r="H281" s="452"/>
      <c r="I281" s="453" t="s">
        <v>844</v>
      </c>
      <c r="J281" s="453"/>
      <c r="K281" s="461"/>
      <c r="L281" s="461"/>
      <c r="M281" s="461"/>
      <c r="N281" s="461"/>
      <c r="O281" s="461"/>
      <c r="P281" s="461"/>
      <c r="Q281" s="461"/>
      <c r="R281" s="461"/>
      <c r="S281" s="461"/>
      <c r="T281" s="461"/>
      <c r="U281" s="461"/>
      <c r="V281" s="461"/>
    </row>
    <row r="282" spans="5:22" s="455" customFormat="1" ht="12.75" hidden="1" customHeight="1">
      <c r="E282" s="452"/>
      <c r="F282" s="452"/>
      <c r="G282" s="452" t="s">
        <v>844</v>
      </c>
      <c r="H282" s="452"/>
      <c r="I282" s="453" t="s">
        <v>844</v>
      </c>
      <c r="J282" s="453"/>
      <c r="K282" s="461"/>
      <c r="L282" s="461"/>
      <c r="M282" s="461"/>
      <c r="N282" s="461"/>
      <c r="O282" s="461"/>
      <c r="P282" s="461"/>
      <c r="Q282" s="461"/>
      <c r="R282" s="461"/>
      <c r="S282" s="461"/>
      <c r="T282" s="461"/>
      <c r="U282" s="461"/>
      <c r="V282" s="461"/>
    </row>
    <row r="283" spans="5:22" s="455" customFormat="1" ht="12.75" hidden="1" customHeight="1">
      <c r="E283" s="452"/>
      <c r="F283" s="452"/>
      <c r="G283" s="452" t="s">
        <v>844</v>
      </c>
      <c r="H283" s="452"/>
      <c r="I283" s="453" t="s">
        <v>844</v>
      </c>
      <c r="J283" s="453"/>
      <c r="K283" s="461"/>
      <c r="L283" s="461"/>
      <c r="M283" s="461"/>
      <c r="N283" s="461"/>
      <c r="O283" s="461"/>
      <c r="P283" s="461"/>
      <c r="Q283" s="461"/>
      <c r="R283" s="461"/>
      <c r="S283" s="461"/>
      <c r="T283" s="461"/>
      <c r="U283" s="461"/>
      <c r="V283" s="461"/>
    </row>
    <row r="284" spans="5:22" s="455" customFormat="1" ht="12.75" hidden="1" customHeight="1">
      <c r="E284" s="452"/>
      <c r="F284" s="452"/>
      <c r="G284" s="452" t="s">
        <v>844</v>
      </c>
      <c r="H284" s="452"/>
      <c r="I284" s="453" t="s">
        <v>844</v>
      </c>
      <c r="J284" s="453"/>
      <c r="K284" s="461"/>
      <c r="L284" s="461"/>
      <c r="M284" s="461"/>
      <c r="N284" s="461"/>
      <c r="O284" s="461"/>
      <c r="P284" s="461"/>
      <c r="Q284" s="461"/>
      <c r="R284" s="461"/>
      <c r="S284" s="461"/>
      <c r="T284" s="461"/>
      <c r="U284" s="461"/>
      <c r="V284" s="461"/>
    </row>
    <row r="285" spans="5:22" s="455" customFormat="1" ht="12.75" hidden="1" customHeight="1">
      <c r="E285" s="452"/>
      <c r="F285" s="452"/>
      <c r="G285" s="452" t="s">
        <v>844</v>
      </c>
      <c r="H285" s="452"/>
      <c r="I285" s="453" t="s">
        <v>844</v>
      </c>
      <c r="J285" s="453"/>
      <c r="K285" s="461"/>
      <c r="L285" s="461"/>
      <c r="M285" s="461"/>
      <c r="N285" s="461"/>
      <c r="O285" s="461"/>
      <c r="P285" s="461"/>
      <c r="Q285" s="461"/>
      <c r="R285" s="461"/>
      <c r="S285" s="461"/>
      <c r="T285" s="461"/>
      <c r="U285" s="461"/>
      <c r="V285" s="461"/>
    </row>
    <row r="286" spans="5:22" s="455" customFormat="1" ht="12.75" hidden="1" customHeight="1">
      <c r="E286" s="452"/>
      <c r="F286" s="452"/>
      <c r="G286" s="452" t="s">
        <v>844</v>
      </c>
      <c r="H286" s="452"/>
      <c r="I286" s="453" t="s">
        <v>844</v>
      </c>
      <c r="J286" s="453"/>
      <c r="K286" s="461"/>
      <c r="L286" s="461"/>
      <c r="M286" s="461"/>
      <c r="N286" s="461"/>
      <c r="O286" s="461"/>
      <c r="P286" s="461"/>
      <c r="Q286" s="461"/>
      <c r="R286" s="461"/>
      <c r="S286" s="461"/>
      <c r="T286" s="461"/>
      <c r="U286" s="461"/>
      <c r="V286" s="461"/>
    </row>
    <row r="287" spans="5:22" s="455" customFormat="1" ht="12.75" hidden="1" customHeight="1">
      <c r="E287" s="452"/>
      <c r="F287" s="452"/>
      <c r="G287" s="452" t="s">
        <v>844</v>
      </c>
      <c r="H287" s="452"/>
      <c r="I287" s="453" t="s">
        <v>844</v>
      </c>
      <c r="J287" s="453"/>
      <c r="K287" s="461"/>
      <c r="L287" s="461"/>
      <c r="M287" s="461"/>
      <c r="N287" s="461"/>
      <c r="O287" s="461"/>
      <c r="P287" s="461"/>
      <c r="Q287" s="461"/>
      <c r="R287" s="461"/>
      <c r="S287" s="461"/>
      <c r="T287" s="461"/>
      <c r="U287" s="461"/>
      <c r="V287" s="461"/>
    </row>
    <row r="288" spans="5:22" s="455" customFormat="1" ht="12.75" hidden="1" customHeight="1">
      <c r="E288" s="452"/>
      <c r="F288" s="452"/>
      <c r="G288" s="452" t="s">
        <v>844</v>
      </c>
      <c r="H288" s="452"/>
      <c r="I288" s="453" t="s">
        <v>844</v>
      </c>
      <c r="J288" s="453"/>
      <c r="K288" s="461"/>
      <c r="L288" s="461"/>
      <c r="M288" s="461"/>
      <c r="N288" s="461"/>
      <c r="O288" s="461"/>
      <c r="P288" s="461"/>
      <c r="Q288" s="461"/>
      <c r="R288" s="461"/>
      <c r="S288" s="461"/>
      <c r="T288" s="461"/>
      <c r="U288" s="461"/>
      <c r="V288" s="461"/>
    </row>
    <row r="289" spans="5:22" s="455" customFormat="1" ht="12.75" hidden="1" customHeight="1">
      <c r="E289" s="452"/>
      <c r="F289" s="452"/>
      <c r="G289" s="452" t="s">
        <v>844</v>
      </c>
      <c r="H289" s="452"/>
      <c r="I289" s="453" t="s">
        <v>844</v>
      </c>
      <c r="J289" s="453"/>
      <c r="K289" s="461"/>
      <c r="L289" s="461"/>
      <c r="M289" s="461"/>
      <c r="N289" s="461"/>
      <c r="O289" s="461"/>
      <c r="P289" s="461"/>
      <c r="Q289" s="461"/>
      <c r="R289" s="461"/>
      <c r="S289" s="461"/>
      <c r="T289" s="461"/>
      <c r="U289" s="461"/>
      <c r="V289" s="461"/>
    </row>
    <row r="290" spans="5:22" s="455" customFormat="1" ht="12.75" hidden="1" customHeight="1">
      <c r="E290" s="452"/>
      <c r="F290" s="452"/>
      <c r="G290" s="452" t="s">
        <v>844</v>
      </c>
      <c r="H290" s="452"/>
      <c r="I290" s="453" t="s">
        <v>844</v>
      </c>
      <c r="J290" s="453"/>
      <c r="K290" s="461"/>
      <c r="L290" s="461"/>
      <c r="M290" s="461"/>
      <c r="N290" s="461"/>
      <c r="O290" s="461"/>
      <c r="P290" s="461"/>
      <c r="Q290" s="461"/>
      <c r="R290" s="461"/>
      <c r="S290" s="461"/>
      <c r="T290" s="461"/>
      <c r="U290" s="461"/>
      <c r="V290" s="461"/>
    </row>
    <row r="291" spans="5:22" s="455" customFormat="1" ht="12.75" hidden="1" customHeight="1">
      <c r="E291" s="452"/>
      <c r="F291" s="452"/>
      <c r="G291" s="452" t="s">
        <v>844</v>
      </c>
      <c r="H291" s="452"/>
      <c r="I291" s="453" t="s">
        <v>844</v>
      </c>
      <c r="J291" s="453"/>
      <c r="K291" s="461"/>
      <c r="L291" s="461"/>
      <c r="M291" s="461"/>
      <c r="N291" s="461"/>
      <c r="O291" s="461"/>
      <c r="P291" s="461"/>
      <c r="Q291" s="461"/>
      <c r="R291" s="461"/>
      <c r="S291" s="461"/>
      <c r="T291" s="461"/>
      <c r="U291" s="461"/>
      <c r="V291" s="461"/>
    </row>
    <row r="292" spans="5:22" s="455" customFormat="1" ht="12.75" hidden="1" customHeight="1">
      <c r="E292" s="452"/>
      <c r="F292" s="452"/>
      <c r="G292" s="452" t="s">
        <v>844</v>
      </c>
      <c r="H292" s="452"/>
      <c r="I292" s="453" t="s">
        <v>844</v>
      </c>
      <c r="J292" s="453"/>
      <c r="K292" s="461"/>
      <c r="L292" s="461"/>
      <c r="M292" s="461"/>
      <c r="N292" s="461"/>
      <c r="O292" s="461"/>
      <c r="P292" s="461"/>
      <c r="Q292" s="461"/>
      <c r="R292" s="461"/>
      <c r="S292" s="461"/>
      <c r="T292" s="461"/>
      <c r="U292" s="461"/>
      <c r="V292" s="461"/>
    </row>
    <row r="293" spans="5:22" s="455" customFormat="1" ht="12.75" hidden="1" customHeight="1">
      <c r="E293" s="452"/>
      <c r="F293" s="452"/>
      <c r="G293" s="452" t="s">
        <v>844</v>
      </c>
      <c r="H293" s="452"/>
      <c r="I293" s="453" t="s">
        <v>844</v>
      </c>
      <c r="J293" s="453"/>
      <c r="K293" s="461"/>
      <c r="L293" s="461"/>
      <c r="M293" s="461"/>
      <c r="N293" s="461"/>
      <c r="O293" s="461"/>
      <c r="P293" s="461"/>
      <c r="Q293" s="461"/>
      <c r="R293" s="461"/>
      <c r="S293" s="461"/>
      <c r="T293" s="461"/>
      <c r="U293" s="461"/>
      <c r="V293" s="461"/>
    </row>
    <row r="294" spans="5:22" s="455" customFormat="1" ht="12.75" hidden="1" customHeight="1">
      <c r="E294" s="452"/>
      <c r="F294" s="452"/>
      <c r="G294" s="452" t="s">
        <v>844</v>
      </c>
      <c r="H294" s="452"/>
      <c r="I294" s="453" t="s">
        <v>844</v>
      </c>
      <c r="J294" s="453"/>
      <c r="K294" s="461"/>
      <c r="L294" s="461"/>
      <c r="M294" s="461"/>
      <c r="N294" s="461"/>
      <c r="O294" s="461"/>
      <c r="P294" s="461"/>
      <c r="Q294" s="461"/>
      <c r="R294" s="461"/>
      <c r="S294" s="461"/>
      <c r="T294" s="461"/>
      <c r="U294" s="461"/>
      <c r="V294" s="461"/>
    </row>
    <row r="295" spans="5:22" s="455" customFormat="1" ht="12.75" hidden="1" customHeight="1">
      <c r="E295" s="452"/>
      <c r="F295" s="452"/>
      <c r="G295" s="452" t="s">
        <v>844</v>
      </c>
      <c r="H295" s="452"/>
      <c r="I295" s="453" t="s">
        <v>844</v>
      </c>
      <c r="J295" s="453"/>
      <c r="K295" s="461"/>
      <c r="L295" s="461"/>
      <c r="M295" s="461"/>
      <c r="N295" s="461"/>
      <c r="O295" s="461"/>
      <c r="P295" s="461"/>
      <c r="Q295" s="461"/>
      <c r="R295" s="461"/>
      <c r="S295" s="461"/>
      <c r="T295" s="461"/>
      <c r="U295" s="461"/>
      <c r="V295" s="461"/>
    </row>
    <row r="296" spans="5:22" s="455" customFormat="1" ht="12.75" hidden="1" customHeight="1">
      <c r="E296" s="452"/>
      <c r="F296" s="452"/>
      <c r="G296" s="452" t="s">
        <v>844</v>
      </c>
      <c r="H296" s="452"/>
      <c r="I296" s="453" t="s">
        <v>844</v>
      </c>
      <c r="J296" s="453"/>
      <c r="K296" s="461"/>
      <c r="L296" s="461"/>
      <c r="M296" s="461"/>
      <c r="N296" s="461"/>
      <c r="O296" s="461"/>
      <c r="P296" s="461"/>
      <c r="Q296" s="461"/>
      <c r="R296" s="461"/>
      <c r="S296" s="461"/>
      <c r="T296" s="461"/>
      <c r="U296" s="461"/>
      <c r="V296" s="461"/>
    </row>
    <row r="297" spans="5:22" s="455" customFormat="1" ht="12.75" hidden="1" customHeight="1">
      <c r="E297" s="452"/>
      <c r="F297" s="452"/>
      <c r="G297" s="452" t="s">
        <v>844</v>
      </c>
      <c r="H297" s="452"/>
      <c r="I297" s="453" t="s">
        <v>844</v>
      </c>
      <c r="J297" s="453"/>
      <c r="K297" s="461"/>
      <c r="L297" s="461"/>
      <c r="M297" s="461"/>
      <c r="N297" s="461"/>
      <c r="O297" s="461"/>
      <c r="P297" s="461"/>
      <c r="Q297" s="461"/>
      <c r="R297" s="461"/>
      <c r="S297" s="461"/>
      <c r="T297" s="461"/>
      <c r="U297" s="461"/>
      <c r="V297" s="461"/>
    </row>
    <row r="298" spans="5:22" s="455" customFormat="1" ht="12.75" hidden="1" customHeight="1">
      <c r="E298" s="452"/>
      <c r="F298" s="452"/>
      <c r="G298" s="452" t="s">
        <v>844</v>
      </c>
      <c r="H298" s="452"/>
      <c r="I298" s="453" t="s">
        <v>844</v>
      </c>
      <c r="J298" s="453"/>
      <c r="K298" s="461"/>
      <c r="L298" s="461"/>
      <c r="M298" s="461"/>
      <c r="N298" s="461"/>
      <c r="O298" s="461"/>
      <c r="P298" s="461"/>
      <c r="Q298" s="461"/>
      <c r="R298" s="461"/>
      <c r="S298" s="461"/>
      <c r="T298" s="461"/>
      <c r="U298" s="461"/>
      <c r="V298" s="461"/>
    </row>
    <row r="299" spans="5:22" s="455" customFormat="1" ht="12.75" hidden="1" customHeight="1">
      <c r="E299" s="452"/>
      <c r="F299" s="452"/>
      <c r="G299" s="452" t="s">
        <v>844</v>
      </c>
      <c r="H299" s="452"/>
      <c r="I299" s="453" t="s">
        <v>844</v>
      </c>
      <c r="J299" s="453"/>
      <c r="K299" s="461"/>
      <c r="L299" s="461"/>
      <c r="M299" s="461"/>
      <c r="N299" s="461"/>
      <c r="O299" s="461"/>
      <c r="P299" s="461"/>
      <c r="Q299" s="461"/>
      <c r="R299" s="461"/>
      <c r="S299" s="461"/>
      <c r="T299" s="461"/>
      <c r="U299" s="461"/>
      <c r="V299" s="461"/>
    </row>
    <row r="300" spans="5:22" s="455" customFormat="1" ht="12.75" hidden="1" customHeight="1">
      <c r="E300" s="452"/>
      <c r="F300" s="452"/>
      <c r="G300" s="452" t="s">
        <v>844</v>
      </c>
      <c r="H300" s="452"/>
      <c r="I300" s="453" t="s">
        <v>844</v>
      </c>
      <c r="J300" s="453"/>
      <c r="K300" s="461"/>
      <c r="L300" s="461"/>
      <c r="M300" s="461"/>
      <c r="N300" s="461"/>
      <c r="O300" s="461"/>
      <c r="P300" s="461"/>
      <c r="Q300" s="461"/>
      <c r="R300" s="461"/>
      <c r="S300" s="461"/>
      <c r="T300" s="461"/>
      <c r="U300" s="461"/>
      <c r="V300" s="461"/>
    </row>
    <row r="301" spans="5:22" s="455" customFormat="1" ht="12.75" hidden="1" customHeight="1">
      <c r="E301" s="452"/>
      <c r="F301" s="452"/>
      <c r="G301" s="452" t="s">
        <v>844</v>
      </c>
      <c r="H301" s="452"/>
      <c r="I301" s="453" t="s">
        <v>844</v>
      </c>
      <c r="J301" s="453"/>
      <c r="K301" s="461"/>
      <c r="L301" s="461"/>
      <c r="M301" s="461"/>
      <c r="N301" s="461"/>
      <c r="O301" s="461"/>
      <c r="P301" s="461"/>
      <c r="Q301" s="461"/>
      <c r="R301" s="461"/>
      <c r="S301" s="461"/>
      <c r="T301" s="461"/>
      <c r="U301" s="461"/>
      <c r="V301" s="461"/>
    </row>
    <row r="302" spans="5:22" s="455" customFormat="1" ht="12.75" hidden="1" customHeight="1">
      <c r="E302" s="452"/>
      <c r="F302" s="452"/>
      <c r="G302" s="452" t="s">
        <v>844</v>
      </c>
      <c r="H302" s="452"/>
      <c r="I302" s="453" t="s">
        <v>844</v>
      </c>
      <c r="J302" s="453"/>
      <c r="K302" s="461"/>
      <c r="L302" s="461"/>
      <c r="M302" s="461"/>
      <c r="N302" s="461"/>
      <c r="O302" s="461"/>
      <c r="P302" s="461"/>
      <c r="Q302" s="461"/>
      <c r="R302" s="461"/>
      <c r="S302" s="461"/>
      <c r="T302" s="461"/>
      <c r="U302" s="461"/>
      <c r="V302" s="461"/>
    </row>
    <row r="303" spans="5:22" s="455" customFormat="1" ht="12.75" hidden="1" customHeight="1">
      <c r="E303" s="452"/>
      <c r="F303" s="452"/>
      <c r="G303" s="452" t="s">
        <v>844</v>
      </c>
      <c r="H303" s="452"/>
      <c r="I303" s="453" t="s">
        <v>844</v>
      </c>
      <c r="J303" s="453"/>
      <c r="K303" s="461"/>
      <c r="L303" s="461"/>
      <c r="M303" s="461"/>
      <c r="N303" s="461"/>
      <c r="O303" s="461"/>
      <c r="P303" s="461"/>
      <c r="Q303" s="461"/>
      <c r="R303" s="461"/>
      <c r="S303" s="461"/>
      <c r="T303" s="461"/>
      <c r="U303" s="461"/>
      <c r="V303" s="461"/>
    </row>
    <row r="304" spans="5:22" s="455" customFormat="1" ht="12.75" hidden="1" customHeight="1">
      <c r="E304" s="452"/>
      <c r="F304" s="452"/>
      <c r="G304" s="452" t="s">
        <v>844</v>
      </c>
      <c r="H304" s="452"/>
      <c r="I304" s="453" t="s">
        <v>844</v>
      </c>
      <c r="J304" s="453"/>
      <c r="K304" s="461"/>
      <c r="L304" s="461"/>
      <c r="M304" s="461"/>
      <c r="N304" s="461"/>
      <c r="O304" s="461"/>
      <c r="P304" s="461"/>
      <c r="Q304" s="461"/>
      <c r="R304" s="461"/>
      <c r="S304" s="461"/>
      <c r="T304" s="461"/>
      <c r="U304" s="461"/>
      <c r="V304" s="461"/>
    </row>
    <row r="305" spans="5:22" s="455" customFormat="1" ht="12.75" hidden="1" customHeight="1">
      <c r="E305" s="452"/>
      <c r="F305" s="452"/>
      <c r="G305" s="452" t="s">
        <v>844</v>
      </c>
      <c r="H305" s="452"/>
      <c r="I305" s="453" t="s">
        <v>844</v>
      </c>
      <c r="J305" s="453"/>
      <c r="K305" s="461"/>
      <c r="L305" s="461"/>
      <c r="M305" s="461"/>
      <c r="N305" s="461"/>
      <c r="O305" s="461"/>
      <c r="P305" s="461"/>
      <c r="Q305" s="461"/>
      <c r="R305" s="461"/>
      <c r="S305" s="461"/>
      <c r="T305" s="461"/>
      <c r="U305" s="461"/>
      <c r="V305" s="461"/>
    </row>
    <row r="306" spans="5:22" s="455" customFormat="1" ht="12.75" hidden="1" customHeight="1">
      <c r="E306" s="452"/>
      <c r="F306" s="452"/>
      <c r="G306" s="452" t="s">
        <v>844</v>
      </c>
      <c r="H306" s="452"/>
      <c r="I306" s="453" t="s">
        <v>844</v>
      </c>
      <c r="J306" s="453"/>
      <c r="K306" s="461"/>
      <c r="L306" s="461"/>
      <c r="M306" s="461"/>
      <c r="N306" s="461"/>
      <c r="O306" s="461"/>
      <c r="P306" s="461"/>
      <c r="Q306" s="461"/>
      <c r="R306" s="461"/>
      <c r="S306" s="461"/>
      <c r="T306" s="461"/>
      <c r="U306" s="461"/>
      <c r="V306" s="461"/>
    </row>
    <row r="307" spans="5:22" s="455" customFormat="1" ht="12.75" hidden="1" customHeight="1">
      <c r="E307" s="452"/>
      <c r="F307" s="452"/>
      <c r="G307" s="452" t="s">
        <v>844</v>
      </c>
      <c r="H307" s="452"/>
      <c r="I307" s="453" t="s">
        <v>844</v>
      </c>
      <c r="J307" s="453"/>
      <c r="K307" s="461"/>
      <c r="L307" s="461"/>
      <c r="M307" s="461"/>
      <c r="N307" s="461"/>
      <c r="O307" s="461"/>
      <c r="P307" s="461"/>
      <c r="Q307" s="461"/>
      <c r="R307" s="461"/>
      <c r="S307" s="461"/>
      <c r="T307" s="461"/>
      <c r="U307" s="461"/>
      <c r="V307" s="461"/>
    </row>
    <row r="308" spans="5:22" s="455" customFormat="1" ht="12.75" hidden="1" customHeight="1">
      <c r="E308" s="452"/>
      <c r="F308" s="452"/>
      <c r="G308" s="452" t="s">
        <v>844</v>
      </c>
      <c r="H308" s="452"/>
      <c r="I308" s="453" t="s">
        <v>844</v>
      </c>
      <c r="J308" s="453"/>
      <c r="K308" s="461"/>
      <c r="L308" s="461"/>
      <c r="M308" s="461"/>
      <c r="N308" s="461"/>
      <c r="O308" s="461"/>
      <c r="P308" s="461"/>
      <c r="Q308" s="461"/>
      <c r="R308" s="461"/>
      <c r="S308" s="461"/>
      <c r="T308" s="461"/>
      <c r="U308" s="461"/>
      <c r="V308" s="461"/>
    </row>
    <row r="309" spans="5:22" s="455" customFormat="1" ht="12.75" hidden="1" customHeight="1">
      <c r="E309" s="452"/>
      <c r="F309" s="452"/>
      <c r="G309" s="452" t="s">
        <v>844</v>
      </c>
      <c r="H309" s="452"/>
      <c r="I309" s="453" t="s">
        <v>844</v>
      </c>
      <c r="J309" s="453"/>
      <c r="K309" s="461"/>
      <c r="L309" s="461"/>
      <c r="M309" s="461"/>
      <c r="N309" s="461"/>
      <c r="O309" s="461"/>
      <c r="P309" s="461"/>
      <c r="Q309" s="461"/>
      <c r="R309" s="461"/>
      <c r="S309" s="461"/>
      <c r="T309" s="461"/>
      <c r="U309" s="461"/>
      <c r="V309" s="461"/>
    </row>
    <row r="310" spans="5:22" s="455" customFormat="1" ht="12.75" hidden="1" customHeight="1">
      <c r="E310" s="452"/>
      <c r="F310" s="452"/>
      <c r="G310" s="452" t="s">
        <v>844</v>
      </c>
      <c r="H310" s="452"/>
      <c r="I310" s="453" t="s">
        <v>844</v>
      </c>
      <c r="J310" s="453"/>
      <c r="K310" s="461"/>
      <c r="L310" s="461"/>
      <c r="M310" s="461"/>
      <c r="N310" s="461"/>
      <c r="O310" s="461"/>
      <c r="P310" s="461"/>
      <c r="Q310" s="461"/>
      <c r="R310" s="461"/>
      <c r="S310" s="461"/>
      <c r="T310" s="461"/>
      <c r="U310" s="461"/>
      <c r="V310" s="461"/>
    </row>
    <row r="311" spans="5:22" s="455" customFormat="1" ht="12.75" hidden="1" customHeight="1">
      <c r="E311" s="452"/>
      <c r="F311" s="452"/>
      <c r="G311" s="452" t="s">
        <v>844</v>
      </c>
      <c r="H311" s="452"/>
      <c r="I311" s="453" t="s">
        <v>844</v>
      </c>
      <c r="J311" s="453"/>
      <c r="K311" s="461"/>
      <c r="L311" s="461"/>
      <c r="M311" s="461"/>
      <c r="N311" s="461"/>
      <c r="O311" s="461"/>
      <c r="P311" s="461"/>
      <c r="Q311" s="461"/>
      <c r="R311" s="461"/>
      <c r="S311" s="461"/>
      <c r="T311" s="461"/>
      <c r="U311" s="461"/>
      <c r="V311" s="461"/>
    </row>
    <row r="312" spans="5:22" s="455" customFormat="1" ht="12.75" hidden="1" customHeight="1">
      <c r="E312" s="452"/>
      <c r="F312" s="452"/>
      <c r="G312" s="452" t="s">
        <v>844</v>
      </c>
      <c r="H312" s="452"/>
      <c r="I312" s="453" t="s">
        <v>844</v>
      </c>
      <c r="J312" s="453"/>
      <c r="K312" s="461"/>
      <c r="L312" s="461"/>
      <c r="M312" s="461"/>
      <c r="N312" s="461"/>
      <c r="O312" s="461"/>
      <c r="P312" s="461"/>
      <c r="Q312" s="461"/>
      <c r="R312" s="461"/>
      <c r="S312" s="461"/>
      <c r="T312" s="461"/>
      <c r="U312" s="461"/>
      <c r="V312" s="461"/>
    </row>
    <row r="313" spans="5:22" s="455" customFormat="1" ht="12.75" hidden="1" customHeight="1">
      <c r="E313" s="452"/>
      <c r="F313" s="452"/>
      <c r="G313" s="452" t="s">
        <v>844</v>
      </c>
      <c r="H313" s="452"/>
      <c r="I313" s="453" t="s">
        <v>844</v>
      </c>
      <c r="J313" s="453"/>
      <c r="K313" s="461"/>
      <c r="L313" s="461"/>
      <c r="M313" s="461"/>
      <c r="N313" s="461"/>
      <c r="O313" s="461"/>
      <c r="P313" s="461"/>
      <c r="Q313" s="461"/>
      <c r="R313" s="461"/>
      <c r="S313" s="461"/>
      <c r="T313" s="461"/>
      <c r="U313" s="461"/>
      <c r="V313" s="461"/>
    </row>
    <row r="314" spans="5:22" s="455" customFormat="1" ht="12.75" hidden="1" customHeight="1">
      <c r="E314" s="452"/>
      <c r="F314" s="452"/>
      <c r="G314" s="452" t="s">
        <v>844</v>
      </c>
      <c r="H314" s="452"/>
      <c r="I314" s="453" t="s">
        <v>844</v>
      </c>
      <c r="J314" s="453"/>
      <c r="K314" s="461"/>
      <c r="L314" s="461"/>
      <c r="M314" s="461"/>
      <c r="N314" s="461"/>
      <c r="O314" s="461"/>
      <c r="P314" s="461"/>
      <c r="Q314" s="461"/>
      <c r="R314" s="461"/>
      <c r="S314" s="461"/>
      <c r="T314" s="461"/>
      <c r="U314" s="461"/>
      <c r="V314" s="461"/>
    </row>
    <row r="315" spans="5:22" s="455" customFormat="1" ht="12.75" hidden="1" customHeight="1">
      <c r="E315" s="452"/>
      <c r="F315" s="452"/>
      <c r="G315" s="452" t="s">
        <v>844</v>
      </c>
      <c r="H315" s="452"/>
      <c r="I315" s="453" t="s">
        <v>844</v>
      </c>
      <c r="J315" s="453"/>
      <c r="K315" s="461"/>
      <c r="L315" s="461"/>
      <c r="M315" s="461"/>
      <c r="N315" s="461"/>
      <c r="O315" s="461"/>
      <c r="P315" s="461"/>
      <c r="Q315" s="461"/>
      <c r="R315" s="461"/>
      <c r="S315" s="461"/>
      <c r="T315" s="461"/>
      <c r="U315" s="461"/>
      <c r="V315" s="461"/>
    </row>
    <row r="316" spans="5:22" s="455" customFormat="1" ht="12.75" hidden="1" customHeight="1">
      <c r="E316" s="452"/>
      <c r="F316" s="452"/>
      <c r="G316" s="452" t="s">
        <v>844</v>
      </c>
      <c r="H316" s="452"/>
      <c r="I316" s="453" t="s">
        <v>844</v>
      </c>
      <c r="J316" s="453"/>
      <c r="K316" s="461"/>
      <c r="L316" s="461"/>
      <c r="M316" s="461"/>
      <c r="N316" s="461"/>
      <c r="O316" s="461"/>
      <c r="P316" s="461"/>
      <c r="Q316" s="461"/>
      <c r="R316" s="461"/>
      <c r="S316" s="461"/>
      <c r="T316" s="461"/>
      <c r="U316" s="461"/>
      <c r="V316" s="461"/>
    </row>
    <row r="317" spans="5:22" s="455" customFormat="1" ht="12.75" hidden="1" customHeight="1">
      <c r="E317" s="452"/>
      <c r="F317" s="452"/>
      <c r="G317" s="452" t="s">
        <v>844</v>
      </c>
      <c r="H317" s="452"/>
      <c r="I317" s="453" t="s">
        <v>844</v>
      </c>
      <c r="J317" s="453"/>
      <c r="K317" s="461"/>
      <c r="L317" s="461"/>
      <c r="M317" s="461"/>
      <c r="N317" s="461"/>
      <c r="O317" s="461"/>
      <c r="P317" s="461"/>
      <c r="Q317" s="461"/>
      <c r="R317" s="461"/>
      <c r="S317" s="461"/>
      <c r="T317" s="461"/>
      <c r="U317" s="461"/>
      <c r="V317" s="461"/>
    </row>
    <row r="318" spans="5:22" s="455" customFormat="1" ht="12.75" hidden="1" customHeight="1">
      <c r="E318" s="452"/>
      <c r="F318" s="452"/>
      <c r="G318" s="452" t="s">
        <v>844</v>
      </c>
      <c r="H318" s="452"/>
      <c r="I318" s="453" t="s">
        <v>844</v>
      </c>
      <c r="J318" s="453"/>
      <c r="K318" s="461"/>
      <c r="L318" s="461"/>
      <c r="M318" s="461"/>
      <c r="N318" s="461"/>
      <c r="O318" s="461"/>
      <c r="P318" s="461"/>
      <c r="Q318" s="461"/>
      <c r="R318" s="461"/>
      <c r="S318" s="461"/>
      <c r="T318" s="461"/>
      <c r="U318" s="461"/>
      <c r="V318" s="461"/>
    </row>
    <row r="319" spans="5:22" s="455" customFormat="1" ht="12.75" hidden="1" customHeight="1">
      <c r="E319" s="452"/>
      <c r="F319" s="452"/>
      <c r="G319" s="452" t="s">
        <v>844</v>
      </c>
      <c r="H319" s="452"/>
      <c r="I319" s="453" t="s">
        <v>844</v>
      </c>
      <c r="J319" s="453"/>
      <c r="K319" s="461"/>
      <c r="L319" s="461"/>
      <c r="M319" s="461"/>
      <c r="N319" s="461"/>
      <c r="O319" s="461"/>
      <c r="P319" s="461"/>
      <c r="Q319" s="461"/>
      <c r="R319" s="461"/>
      <c r="S319" s="461"/>
      <c r="T319" s="461"/>
      <c r="U319" s="461"/>
      <c r="V319" s="461"/>
    </row>
    <row r="320" spans="5:22" s="455" customFormat="1" ht="12.75" hidden="1" customHeight="1">
      <c r="E320" s="452"/>
      <c r="F320" s="452"/>
      <c r="G320" s="452" t="s">
        <v>844</v>
      </c>
      <c r="H320" s="452"/>
      <c r="I320" s="453" t="s">
        <v>844</v>
      </c>
      <c r="J320" s="453"/>
      <c r="K320" s="461"/>
      <c r="L320" s="461"/>
      <c r="M320" s="461"/>
      <c r="N320" s="461"/>
      <c r="O320" s="461"/>
      <c r="P320" s="461"/>
      <c r="Q320" s="461"/>
      <c r="R320" s="461"/>
      <c r="S320" s="461"/>
      <c r="T320" s="461"/>
      <c r="U320" s="461"/>
      <c r="V320" s="461"/>
    </row>
    <row r="321" spans="5:22" s="455" customFormat="1" ht="12.75" hidden="1" customHeight="1">
      <c r="E321" s="452"/>
      <c r="F321" s="452"/>
      <c r="G321" s="452" t="s">
        <v>844</v>
      </c>
      <c r="H321" s="452"/>
      <c r="I321" s="453" t="s">
        <v>844</v>
      </c>
      <c r="J321" s="453"/>
      <c r="K321" s="461"/>
      <c r="L321" s="461"/>
      <c r="M321" s="461"/>
      <c r="N321" s="461"/>
      <c r="O321" s="461"/>
      <c r="P321" s="461"/>
      <c r="Q321" s="461"/>
      <c r="R321" s="461"/>
      <c r="S321" s="461"/>
      <c r="T321" s="461"/>
      <c r="U321" s="461"/>
      <c r="V321" s="461"/>
    </row>
    <row r="322" spans="5:22" s="455" customFormat="1" ht="12.75" hidden="1" customHeight="1">
      <c r="E322" s="452"/>
      <c r="F322" s="452"/>
      <c r="G322" s="452" t="s">
        <v>844</v>
      </c>
      <c r="H322" s="452"/>
      <c r="I322" s="453" t="s">
        <v>844</v>
      </c>
      <c r="J322" s="453"/>
      <c r="K322" s="461"/>
      <c r="L322" s="461"/>
      <c r="M322" s="461"/>
      <c r="N322" s="461"/>
      <c r="O322" s="461"/>
      <c r="P322" s="461"/>
      <c r="Q322" s="461"/>
      <c r="R322" s="461"/>
      <c r="S322" s="461"/>
      <c r="T322" s="461"/>
      <c r="U322" s="461"/>
      <c r="V322" s="461"/>
    </row>
    <row r="323" spans="5:22" s="455" customFormat="1" ht="12.75" hidden="1" customHeight="1">
      <c r="E323" s="452"/>
      <c r="F323" s="452"/>
      <c r="G323" s="452" t="s">
        <v>844</v>
      </c>
      <c r="H323" s="452"/>
      <c r="I323" s="453" t="s">
        <v>844</v>
      </c>
      <c r="J323" s="453"/>
      <c r="K323" s="461"/>
      <c r="L323" s="461"/>
      <c r="M323" s="461"/>
      <c r="N323" s="461"/>
      <c r="O323" s="461"/>
      <c r="P323" s="461"/>
      <c r="Q323" s="461"/>
      <c r="R323" s="461"/>
      <c r="S323" s="461"/>
      <c r="T323" s="461"/>
      <c r="U323" s="461"/>
      <c r="V323" s="461"/>
    </row>
    <row r="324" spans="5:22" s="455" customFormat="1" ht="12.75" hidden="1" customHeight="1">
      <c r="E324" s="452"/>
      <c r="F324" s="452"/>
      <c r="G324" s="452" t="s">
        <v>844</v>
      </c>
      <c r="H324" s="452"/>
      <c r="I324" s="453" t="s">
        <v>844</v>
      </c>
      <c r="J324" s="453"/>
      <c r="K324" s="461"/>
      <c r="L324" s="461"/>
      <c r="M324" s="461"/>
      <c r="N324" s="461"/>
      <c r="O324" s="461"/>
      <c r="P324" s="461"/>
      <c r="Q324" s="461"/>
      <c r="R324" s="461"/>
      <c r="S324" s="461"/>
      <c r="T324" s="461"/>
      <c r="U324" s="461"/>
      <c r="V324" s="461"/>
    </row>
    <row r="325" spans="5:22" s="455" customFormat="1" ht="12.75" hidden="1" customHeight="1">
      <c r="E325" s="452"/>
      <c r="F325" s="452"/>
      <c r="G325" s="452" t="s">
        <v>844</v>
      </c>
      <c r="H325" s="452"/>
      <c r="I325" s="453" t="s">
        <v>844</v>
      </c>
      <c r="J325" s="453"/>
      <c r="K325" s="461"/>
      <c r="L325" s="461"/>
      <c r="M325" s="461"/>
      <c r="N325" s="461"/>
      <c r="O325" s="461"/>
      <c r="P325" s="461"/>
      <c r="Q325" s="461"/>
      <c r="R325" s="461"/>
      <c r="S325" s="461"/>
      <c r="T325" s="461"/>
      <c r="U325" s="461"/>
      <c r="V325" s="461"/>
    </row>
    <row r="326" spans="5:22" s="455" customFormat="1" ht="12.75" hidden="1" customHeight="1">
      <c r="E326" s="452"/>
      <c r="F326" s="452"/>
      <c r="G326" s="452" t="s">
        <v>844</v>
      </c>
      <c r="H326" s="452"/>
      <c r="I326" s="453" t="s">
        <v>844</v>
      </c>
      <c r="J326" s="453"/>
      <c r="K326" s="461"/>
      <c r="L326" s="461"/>
      <c r="M326" s="461"/>
      <c r="N326" s="461"/>
      <c r="O326" s="461"/>
      <c r="P326" s="461"/>
      <c r="Q326" s="461"/>
      <c r="R326" s="461"/>
      <c r="S326" s="461"/>
      <c r="T326" s="461"/>
      <c r="U326" s="461"/>
      <c r="V326" s="461"/>
    </row>
    <row r="327" spans="5:22" s="455" customFormat="1" ht="12.75" hidden="1" customHeight="1">
      <c r="E327" s="452"/>
      <c r="F327" s="452"/>
      <c r="G327" s="452" t="s">
        <v>844</v>
      </c>
      <c r="H327" s="452"/>
      <c r="I327" s="453" t="s">
        <v>844</v>
      </c>
      <c r="J327" s="453"/>
      <c r="K327" s="461"/>
      <c r="L327" s="461"/>
      <c r="M327" s="461"/>
      <c r="N327" s="461"/>
      <c r="O327" s="461"/>
      <c r="P327" s="461"/>
      <c r="Q327" s="461"/>
      <c r="R327" s="461"/>
      <c r="S327" s="461"/>
      <c r="T327" s="461"/>
      <c r="U327" s="461"/>
      <c r="V327" s="461"/>
    </row>
    <row r="328" spans="5:22" s="455" customFormat="1" ht="12.75" hidden="1" customHeight="1">
      <c r="E328" s="452"/>
      <c r="F328" s="452"/>
      <c r="G328" s="452" t="s">
        <v>844</v>
      </c>
      <c r="H328" s="452"/>
      <c r="I328" s="453" t="s">
        <v>844</v>
      </c>
      <c r="J328" s="453"/>
      <c r="K328" s="461"/>
      <c r="L328" s="461"/>
      <c r="M328" s="461"/>
      <c r="N328" s="461"/>
      <c r="O328" s="461"/>
      <c r="P328" s="461"/>
      <c r="Q328" s="461"/>
      <c r="R328" s="461"/>
      <c r="S328" s="461"/>
      <c r="T328" s="461"/>
      <c r="U328" s="461"/>
      <c r="V328" s="461"/>
    </row>
    <row r="329" spans="5:22" s="455" customFormat="1" ht="12.75" hidden="1" customHeight="1">
      <c r="E329" s="452"/>
      <c r="F329" s="452"/>
      <c r="G329" s="452" t="s">
        <v>844</v>
      </c>
      <c r="H329" s="452"/>
      <c r="I329" s="453" t="s">
        <v>844</v>
      </c>
      <c r="J329" s="453"/>
      <c r="K329" s="461"/>
      <c r="L329" s="461"/>
      <c r="M329" s="461"/>
      <c r="N329" s="461"/>
      <c r="O329" s="461"/>
      <c r="P329" s="461"/>
      <c r="Q329" s="461"/>
      <c r="R329" s="461"/>
      <c r="S329" s="461"/>
      <c r="T329" s="461"/>
      <c r="U329" s="461"/>
      <c r="V329" s="461"/>
    </row>
    <row r="330" spans="5:22" s="455" customFormat="1" ht="12.75" hidden="1" customHeight="1">
      <c r="E330" s="452"/>
      <c r="F330" s="452"/>
      <c r="G330" s="452" t="s">
        <v>844</v>
      </c>
      <c r="H330" s="452"/>
      <c r="I330" s="453" t="s">
        <v>844</v>
      </c>
      <c r="J330" s="453"/>
      <c r="K330" s="461"/>
      <c r="L330" s="461"/>
      <c r="M330" s="461"/>
      <c r="N330" s="461"/>
      <c r="O330" s="461"/>
      <c r="P330" s="461"/>
      <c r="Q330" s="461"/>
      <c r="R330" s="461"/>
      <c r="S330" s="461"/>
      <c r="T330" s="461"/>
      <c r="U330" s="461"/>
      <c r="V330" s="461"/>
    </row>
    <row r="331" spans="5:22" s="455" customFormat="1" ht="12.75" hidden="1" customHeight="1">
      <c r="E331" s="452"/>
      <c r="F331" s="452"/>
      <c r="G331" s="452" t="s">
        <v>844</v>
      </c>
      <c r="H331" s="452"/>
      <c r="I331" s="453" t="s">
        <v>844</v>
      </c>
      <c r="J331" s="453"/>
      <c r="K331" s="461"/>
      <c r="L331" s="461"/>
      <c r="M331" s="461"/>
      <c r="N331" s="461"/>
      <c r="O331" s="461"/>
      <c r="P331" s="461"/>
      <c r="Q331" s="461"/>
      <c r="R331" s="461"/>
      <c r="S331" s="461"/>
      <c r="T331" s="461"/>
      <c r="U331" s="461"/>
      <c r="V331" s="461"/>
    </row>
    <row r="332" spans="5:22" s="455" customFormat="1" ht="12.75" hidden="1" customHeight="1">
      <c r="E332" s="452"/>
      <c r="F332" s="452"/>
      <c r="G332" s="452" t="s">
        <v>844</v>
      </c>
      <c r="H332" s="452"/>
      <c r="I332" s="453" t="s">
        <v>844</v>
      </c>
      <c r="J332" s="453"/>
      <c r="K332" s="461"/>
      <c r="L332" s="461"/>
      <c r="M332" s="461"/>
      <c r="N332" s="461"/>
      <c r="O332" s="461"/>
      <c r="P332" s="461"/>
      <c r="Q332" s="461"/>
      <c r="R332" s="461"/>
      <c r="S332" s="461"/>
      <c r="T332" s="461"/>
      <c r="U332" s="461"/>
      <c r="V332" s="461"/>
    </row>
    <row r="333" spans="5:22" s="455" customFormat="1" ht="12.75" hidden="1" customHeight="1">
      <c r="E333" s="452"/>
      <c r="F333" s="452"/>
      <c r="G333" s="452" t="s">
        <v>844</v>
      </c>
      <c r="H333" s="452"/>
      <c r="I333" s="453" t="s">
        <v>844</v>
      </c>
      <c r="J333" s="453"/>
      <c r="K333" s="461"/>
      <c r="L333" s="461"/>
      <c r="M333" s="461"/>
      <c r="N333" s="461"/>
      <c r="O333" s="461"/>
      <c r="P333" s="461"/>
      <c r="Q333" s="461"/>
      <c r="R333" s="461"/>
      <c r="S333" s="461"/>
      <c r="T333" s="461"/>
      <c r="U333" s="461"/>
      <c r="V333" s="461"/>
    </row>
    <row r="334" spans="5:22" s="455" customFormat="1" ht="12.75" hidden="1" customHeight="1">
      <c r="E334" s="452"/>
      <c r="F334" s="452"/>
      <c r="G334" s="452" t="s">
        <v>844</v>
      </c>
      <c r="H334" s="452"/>
      <c r="I334" s="453" t="s">
        <v>844</v>
      </c>
      <c r="J334" s="453"/>
      <c r="K334" s="461"/>
      <c r="L334" s="461"/>
      <c r="M334" s="461"/>
      <c r="N334" s="461"/>
      <c r="O334" s="461"/>
      <c r="P334" s="461"/>
      <c r="Q334" s="461"/>
      <c r="R334" s="461"/>
      <c r="S334" s="461"/>
      <c r="T334" s="461"/>
      <c r="U334" s="461"/>
      <c r="V334" s="461"/>
    </row>
    <row r="335" spans="5:22" s="455" customFormat="1" ht="12.75" hidden="1" customHeight="1">
      <c r="E335" s="452"/>
      <c r="F335" s="452"/>
      <c r="G335" s="452" t="s">
        <v>844</v>
      </c>
      <c r="H335" s="452"/>
      <c r="I335" s="453" t="s">
        <v>844</v>
      </c>
      <c r="J335" s="453"/>
      <c r="K335" s="461"/>
      <c r="L335" s="461"/>
      <c r="M335" s="461"/>
      <c r="N335" s="461"/>
      <c r="O335" s="461"/>
      <c r="P335" s="461"/>
      <c r="Q335" s="461"/>
      <c r="R335" s="461"/>
      <c r="S335" s="461"/>
      <c r="T335" s="461"/>
      <c r="U335" s="461"/>
      <c r="V335" s="461"/>
    </row>
    <row r="336" spans="5:22" s="455" customFormat="1" ht="12.75" hidden="1" customHeight="1">
      <c r="E336" s="452"/>
      <c r="F336" s="452"/>
      <c r="G336" s="452" t="s">
        <v>844</v>
      </c>
      <c r="H336" s="452"/>
      <c r="I336" s="453" t="s">
        <v>844</v>
      </c>
      <c r="J336" s="453"/>
      <c r="K336" s="461"/>
      <c r="L336" s="461"/>
      <c r="M336" s="461"/>
      <c r="N336" s="461"/>
      <c r="O336" s="461"/>
      <c r="P336" s="461"/>
      <c r="Q336" s="461"/>
      <c r="R336" s="461"/>
      <c r="S336" s="461"/>
      <c r="T336" s="461"/>
      <c r="U336" s="461"/>
      <c r="V336" s="461"/>
    </row>
    <row r="337" spans="5:22" s="455" customFormat="1" ht="12.75" hidden="1" customHeight="1">
      <c r="E337" s="452"/>
      <c r="F337" s="452"/>
      <c r="G337" s="452" t="s">
        <v>844</v>
      </c>
      <c r="H337" s="452"/>
      <c r="I337" s="453" t="s">
        <v>844</v>
      </c>
      <c r="J337" s="453"/>
      <c r="K337" s="461"/>
      <c r="L337" s="461"/>
      <c r="M337" s="461"/>
      <c r="N337" s="461"/>
      <c r="O337" s="461"/>
      <c r="P337" s="461"/>
      <c r="Q337" s="461"/>
      <c r="R337" s="461"/>
      <c r="S337" s="461"/>
      <c r="T337" s="461"/>
      <c r="U337" s="461"/>
      <c r="V337" s="461"/>
    </row>
    <row r="338" spans="5:22" s="455" customFormat="1" ht="12.75" hidden="1" customHeight="1">
      <c r="E338" s="452"/>
      <c r="F338" s="452"/>
      <c r="G338" s="452" t="s">
        <v>844</v>
      </c>
      <c r="H338" s="452"/>
      <c r="I338" s="453" t="s">
        <v>844</v>
      </c>
      <c r="J338" s="453"/>
      <c r="K338" s="461"/>
      <c r="L338" s="461"/>
      <c r="M338" s="461"/>
      <c r="N338" s="461"/>
      <c r="O338" s="461"/>
      <c r="P338" s="461"/>
      <c r="Q338" s="461"/>
      <c r="R338" s="461"/>
      <c r="S338" s="461"/>
      <c r="T338" s="461"/>
      <c r="U338" s="461"/>
      <c r="V338" s="461"/>
    </row>
    <row r="339" spans="5:22" s="455" customFormat="1" ht="12.75" hidden="1" customHeight="1">
      <c r="E339" s="452"/>
      <c r="F339" s="452"/>
      <c r="G339" s="452" t="s">
        <v>844</v>
      </c>
      <c r="H339" s="452"/>
      <c r="I339" s="453" t="s">
        <v>844</v>
      </c>
      <c r="J339" s="453"/>
      <c r="K339" s="461"/>
      <c r="L339" s="461"/>
      <c r="M339" s="461"/>
      <c r="N339" s="461"/>
      <c r="O339" s="461"/>
      <c r="P339" s="461"/>
      <c r="Q339" s="461"/>
      <c r="R339" s="461"/>
      <c r="S339" s="461"/>
      <c r="T339" s="461"/>
      <c r="U339" s="461"/>
      <c r="V339" s="461"/>
    </row>
    <row r="340" spans="5:22" s="455" customFormat="1" ht="12.75" hidden="1" customHeight="1">
      <c r="E340" s="452"/>
      <c r="F340" s="452"/>
      <c r="G340" s="452" t="s">
        <v>844</v>
      </c>
      <c r="H340" s="452"/>
      <c r="I340" s="453" t="s">
        <v>844</v>
      </c>
      <c r="J340" s="453"/>
      <c r="K340" s="461"/>
      <c r="L340" s="461"/>
      <c r="M340" s="461"/>
      <c r="N340" s="461"/>
      <c r="O340" s="461"/>
      <c r="P340" s="461"/>
      <c r="Q340" s="461"/>
      <c r="R340" s="461"/>
      <c r="S340" s="461"/>
      <c r="T340" s="461"/>
      <c r="U340" s="461"/>
      <c r="V340" s="461"/>
    </row>
    <row r="341" spans="5:22" s="455" customFormat="1" ht="12.75" hidden="1" customHeight="1">
      <c r="E341" s="452"/>
      <c r="F341" s="452"/>
      <c r="G341" s="452" t="s">
        <v>844</v>
      </c>
      <c r="H341" s="452"/>
      <c r="I341" s="453" t="s">
        <v>844</v>
      </c>
      <c r="J341" s="453"/>
      <c r="K341" s="461"/>
      <c r="L341" s="461"/>
      <c r="M341" s="461"/>
      <c r="N341" s="461"/>
      <c r="O341" s="461"/>
      <c r="P341" s="461"/>
      <c r="Q341" s="461"/>
      <c r="R341" s="461"/>
      <c r="S341" s="461"/>
      <c r="T341" s="461"/>
      <c r="U341" s="461"/>
      <c r="V341" s="461"/>
    </row>
    <row r="342" spans="5:22" s="455" customFormat="1" ht="12.75" hidden="1" customHeight="1">
      <c r="E342" s="452"/>
      <c r="F342" s="452"/>
      <c r="G342" s="452" t="s">
        <v>844</v>
      </c>
      <c r="H342" s="452"/>
      <c r="I342" s="453" t="s">
        <v>844</v>
      </c>
      <c r="J342" s="453"/>
      <c r="K342" s="461"/>
      <c r="L342" s="461"/>
      <c r="M342" s="461"/>
      <c r="N342" s="461"/>
      <c r="O342" s="461"/>
      <c r="P342" s="461"/>
      <c r="Q342" s="461"/>
      <c r="R342" s="461"/>
      <c r="S342" s="461"/>
      <c r="T342" s="461"/>
      <c r="U342" s="461"/>
      <c r="V342" s="461"/>
    </row>
    <row r="343" spans="5:22" s="455" customFormat="1" ht="12.75" hidden="1" customHeight="1">
      <c r="E343" s="452"/>
      <c r="F343" s="452"/>
      <c r="G343" s="452" t="s">
        <v>844</v>
      </c>
      <c r="H343" s="452"/>
      <c r="I343" s="453" t="s">
        <v>844</v>
      </c>
      <c r="J343" s="453"/>
      <c r="K343" s="461"/>
      <c r="L343" s="461"/>
      <c r="M343" s="461"/>
      <c r="N343" s="461"/>
      <c r="O343" s="461"/>
      <c r="P343" s="461"/>
      <c r="Q343" s="461"/>
      <c r="R343" s="461"/>
      <c r="S343" s="461"/>
      <c r="T343" s="461"/>
      <c r="U343" s="461"/>
      <c r="V343" s="461"/>
    </row>
    <row r="344" spans="5:22" s="455" customFormat="1" ht="12.75" hidden="1" customHeight="1">
      <c r="E344" s="452"/>
      <c r="F344" s="452"/>
      <c r="G344" s="452" t="s">
        <v>844</v>
      </c>
      <c r="H344" s="452"/>
      <c r="I344" s="453" t="s">
        <v>844</v>
      </c>
      <c r="J344" s="453"/>
      <c r="K344" s="461"/>
      <c r="L344" s="461"/>
      <c r="M344" s="461"/>
      <c r="N344" s="461"/>
      <c r="O344" s="461"/>
      <c r="P344" s="461"/>
      <c r="Q344" s="461"/>
      <c r="R344" s="461"/>
      <c r="S344" s="461"/>
      <c r="T344" s="461"/>
      <c r="U344" s="461"/>
      <c r="V344" s="461"/>
    </row>
    <row r="345" spans="5:22" s="455" customFormat="1" ht="12.75" hidden="1" customHeight="1">
      <c r="E345" s="452"/>
      <c r="F345" s="452"/>
      <c r="G345" s="452" t="s">
        <v>844</v>
      </c>
      <c r="H345" s="452"/>
      <c r="I345" s="453" t="s">
        <v>844</v>
      </c>
      <c r="J345" s="453"/>
      <c r="K345" s="461"/>
      <c r="L345" s="461"/>
      <c r="M345" s="461"/>
      <c r="N345" s="461"/>
      <c r="O345" s="461"/>
      <c r="P345" s="461"/>
      <c r="Q345" s="461"/>
      <c r="R345" s="461"/>
      <c r="S345" s="461"/>
      <c r="T345" s="461"/>
      <c r="U345" s="461"/>
      <c r="V345" s="461"/>
    </row>
    <row r="346" spans="5:22" s="455" customFormat="1" ht="12.75" hidden="1" customHeight="1">
      <c r="E346" s="452"/>
      <c r="F346" s="452"/>
      <c r="G346" s="452" t="s">
        <v>844</v>
      </c>
      <c r="H346" s="452"/>
      <c r="I346" s="453" t="s">
        <v>844</v>
      </c>
      <c r="J346" s="453"/>
      <c r="K346" s="461"/>
      <c r="L346" s="461"/>
      <c r="M346" s="461"/>
      <c r="N346" s="461"/>
      <c r="O346" s="461"/>
      <c r="P346" s="461"/>
      <c r="Q346" s="461"/>
      <c r="R346" s="461"/>
      <c r="S346" s="461"/>
      <c r="T346" s="461"/>
      <c r="U346" s="461"/>
      <c r="V346" s="461"/>
    </row>
    <row r="347" spans="5:22" s="455" customFormat="1" ht="12.75" hidden="1" customHeight="1">
      <c r="E347" s="452"/>
      <c r="F347" s="452"/>
      <c r="G347" s="452" t="s">
        <v>844</v>
      </c>
      <c r="H347" s="452"/>
      <c r="I347" s="453" t="s">
        <v>844</v>
      </c>
      <c r="J347" s="453"/>
      <c r="K347" s="461"/>
      <c r="L347" s="461"/>
      <c r="M347" s="461"/>
      <c r="N347" s="461"/>
      <c r="O347" s="461"/>
      <c r="P347" s="461"/>
      <c r="Q347" s="461"/>
      <c r="R347" s="461"/>
      <c r="S347" s="461"/>
      <c r="T347" s="461"/>
      <c r="U347" s="461"/>
      <c r="V347" s="461"/>
    </row>
    <row r="348" spans="5:22" s="455" customFormat="1" ht="12.75" hidden="1" customHeight="1">
      <c r="E348" s="452"/>
      <c r="F348" s="452"/>
      <c r="G348" s="452" t="s">
        <v>844</v>
      </c>
      <c r="H348" s="452"/>
      <c r="I348" s="453" t="s">
        <v>844</v>
      </c>
      <c r="J348" s="453"/>
      <c r="K348" s="461"/>
      <c r="L348" s="461"/>
      <c r="M348" s="461"/>
      <c r="N348" s="461"/>
      <c r="O348" s="461"/>
      <c r="P348" s="461"/>
      <c r="Q348" s="461"/>
      <c r="R348" s="461"/>
      <c r="S348" s="461"/>
      <c r="T348" s="461"/>
      <c r="U348" s="461"/>
      <c r="V348" s="461"/>
    </row>
    <row r="349" spans="5:22" s="455" customFormat="1" ht="12.75" hidden="1" customHeight="1">
      <c r="E349" s="452"/>
      <c r="F349" s="452"/>
      <c r="G349" s="452" t="s">
        <v>844</v>
      </c>
      <c r="H349" s="452"/>
      <c r="I349" s="453" t="s">
        <v>844</v>
      </c>
      <c r="J349" s="453"/>
      <c r="K349" s="461"/>
      <c r="L349" s="461"/>
      <c r="M349" s="461"/>
      <c r="N349" s="461"/>
      <c r="O349" s="461"/>
      <c r="P349" s="461"/>
      <c r="Q349" s="461"/>
      <c r="R349" s="461"/>
      <c r="S349" s="461"/>
      <c r="T349" s="461"/>
      <c r="U349" s="461"/>
      <c r="V349" s="461"/>
    </row>
    <row r="350" spans="5:22" s="455" customFormat="1" ht="12.75" hidden="1" customHeight="1">
      <c r="E350" s="452"/>
      <c r="F350" s="452"/>
      <c r="G350" s="452" t="s">
        <v>844</v>
      </c>
      <c r="H350" s="452"/>
      <c r="I350" s="453" t="s">
        <v>844</v>
      </c>
      <c r="J350" s="453"/>
      <c r="K350" s="461"/>
      <c r="L350" s="461"/>
      <c r="M350" s="461"/>
      <c r="N350" s="461"/>
      <c r="O350" s="461"/>
      <c r="P350" s="461"/>
      <c r="Q350" s="461"/>
      <c r="R350" s="461"/>
      <c r="S350" s="461"/>
      <c r="T350" s="461"/>
      <c r="U350" s="461"/>
      <c r="V350" s="461"/>
    </row>
    <row r="351" spans="5:22" s="455" customFormat="1" ht="12.75" hidden="1" customHeight="1">
      <c r="E351" s="452"/>
      <c r="F351" s="452"/>
      <c r="G351" s="452" t="s">
        <v>844</v>
      </c>
      <c r="H351" s="452"/>
      <c r="I351" s="453" t="s">
        <v>844</v>
      </c>
      <c r="J351" s="453"/>
      <c r="K351" s="461"/>
      <c r="L351" s="461"/>
      <c r="M351" s="461"/>
      <c r="N351" s="461"/>
      <c r="O351" s="461"/>
      <c r="P351" s="461"/>
      <c r="Q351" s="461"/>
      <c r="R351" s="461"/>
      <c r="S351" s="461"/>
      <c r="T351" s="461"/>
      <c r="U351" s="461"/>
      <c r="V351" s="461"/>
    </row>
    <row r="352" spans="5:22" s="455" customFormat="1" ht="12.75" hidden="1" customHeight="1">
      <c r="E352" s="452"/>
      <c r="F352" s="452"/>
      <c r="G352" s="452" t="s">
        <v>844</v>
      </c>
      <c r="H352" s="452"/>
      <c r="I352" s="453" t="s">
        <v>844</v>
      </c>
      <c r="J352" s="453"/>
      <c r="K352" s="461"/>
      <c r="L352" s="461"/>
      <c r="M352" s="461"/>
      <c r="N352" s="461"/>
      <c r="O352" s="461"/>
      <c r="P352" s="461"/>
      <c r="Q352" s="461"/>
      <c r="R352" s="461"/>
      <c r="S352" s="461"/>
      <c r="T352" s="461"/>
      <c r="U352" s="461"/>
      <c r="V352" s="461"/>
    </row>
    <row r="353" spans="5:22" s="455" customFormat="1" ht="12.75" hidden="1" customHeight="1">
      <c r="E353" s="452"/>
      <c r="F353" s="452"/>
      <c r="G353" s="452" t="s">
        <v>844</v>
      </c>
      <c r="H353" s="452"/>
      <c r="I353" s="453" t="s">
        <v>844</v>
      </c>
      <c r="J353" s="453"/>
      <c r="K353" s="461"/>
      <c r="L353" s="461"/>
      <c r="M353" s="461"/>
      <c r="N353" s="461"/>
      <c r="O353" s="461"/>
      <c r="P353" s="461"/>
      <c r="Q353" s="461"/>
      <c r="R353" s="461"/>
      <c r="S353" s="461"/>
      <c r="T353" s="461"/>
      <c r="U353" s="461"/>
      <c r="V353" s="461"/>
    </row>
    <row r="354" spans="5:22" s="455" customFormat="1" ht="12.75" hidden="1" customHeight="1">
      <c r="E354" s="452"/>
      <c r="F354" s="452"/>
      <c r="G354" s="452" t="s">
        <v>844</v>
      </c>
      <c r="H354" s="452"/>
      <c r="I354" s="453" t="s">
        <v>844</v>
      </c>
      <c r="J354" s="453"/>
      <c r="K354" s="461"/>
      <c r="L354" s="461"/>
      <c r="M354" s="461"/>
      <c r="N354" s="461"/>
      <c r="O354" s="461"/>
      <c r="P354" s="461"/>
      <c r="Q354" s="461"/>
      <c r="R354" s="461"/>
      <c r="S354" s="461"/>
      <c r="T354" s="461"/>
      <c r="U354" s="461"/>
      <c r="V354" s="461"/>
    </row>
    <row r="355" spans="5:22" s="455" customFormat="1" ht="12.75" hidden="1" customHeight="1">
      <c r="E355" s="452"/>
      <c r="F355" s="452"/>
      <c r="G355" s="452" t="s">
        <v>844</v>
      </c>
      <c r="H355" s="452"/>
      <c r="I355" s="453" t="s">
        <v>844</v>
      </c>
      <c r="J355" s="453"/>
      <c r="K355" s="461"/>
      <c r="L355" s="461"/>
      <c r="M355" s="461"/>
      <c r="N355" s="461"/>
      <c r="O355" s="461"/>
      <c r="P355" s="461"/>
      <c r="Q355" s="461"/>
      <c r="R355" s="461"/>
      <c r="S355" s="461"/>
      <c r="T355" s="461"/>
      <c r="U355" s="461"/>
      <c r="V355" s="461"/>
    </row>
    <row r="356" spans="5:22" s="455" customFormat="1" ht="12.75" hidden="1" customHeight="1">
      <c r="E356" s="452"/>
      <c r="F356" s="452"/>
      <c r="G356" s="452" t="s">
        <v>844</v>
      </c>
      <c r="H356" s="452"/>
      <c r="I356" s="453" t="s">
        <v>844</v>
      </c>
      <c r="J356" s="453"/>
      <c r="K356" s="461"/>
      <c r="L356" s="461"/>
      <c r="M356" s="461"/>
      <c r="N356" s="461"/>
      <c r="O356" s="461"/>
      <c r="P356" s="461"/>
      <c r="Q356" s="461"/>
      <c r="R356" s="461"/>
      <c r="S356" s="461"/>
      <c r="T356" s="461"/>
      <c r="U356" s="461"/>
      <c r="V356" s="461"/>
    </row>
    <row r="357" spans="5:22" s="455" customFormat="1" ht="12.75" hidden="1" customHeight="1">
      <c r="E357" s="452"/>
      <c r="F357" s="452"/>
      <c r="G357" s="452" t="s">
        <v>844</v>
      </c>
      <c r="H357" s="452"/>
      <c r="I357" s="453" t="s">
        <v>844</v>
      </c>
      <c r="J357" s="453"/>
      <c r="K357" s="461"/>
      <c r="L357" s="461"/>
      <c r="M357" s="461"/>
      <c r="N357" s="461"/>
      <c r="O357" s="461"/>
      <c r="P357" s="461"/>
      <c r="Q357" s="461"/>
      <c r="R357" s="461"/>
      <c r="S357" s="461"/>
      <c r="T357" s="461"/>
      <c r="U357" s="461"/>
      <c r="V357" s="461"/>
    </row>
    <row r="358" spans="5:22" s="455" customFormat="1" ht="12.75" hidden="1" customHeight="1">
      <c r="E358" s="452"/>
      <c r="F358" s="452"/>
      <c r="G358" s="452" t="s">
        <v>844</v>
      </c>
      <c r="H358" s="452"/>
      <c r="I358" s="453" t="s">
        <v>844</v>
      </c>
      <c r="J358" s="453"/>
      <c r="K358" s="461"/>
      <c r="L358" s="461"/>
      <c r="M358" s="461"/>
      <c r="N358" s="461"/>
      <c r="O358" s="461"/>
      <c r="P358" s="461"/>
      <c r="Q358" s="461"/>
      <c r="R358" s="461"/>
      <c r="S358" s="461"/>
      <c r="T358" s="461"/>
      <c r="U358" s="461"/>
      <c r="V358" s="461"/>
    </row>
    <row r="359" spans="5:22" s="455" customFormat="1" ht="12.75" hidden="1" customHeight="1">
      <c r="E359" s="452"/>
      <c r="F359" s="452"/>
      <c r="G359" s="452" t="s">
        <v>844</v>
      </c>
      <c r="H359" s="452"/>
      <c r="I359" s="453" t="s">
        <v>844</v>
      </c>
      <c r="J359" s="453"/>
      <c r="K359" s="461"/>
      <c r="L359" s="461"/>
      <c r="M359" s="461"/>
      <c r="N359" s="461"/>
      <c r="O359" s="461"/>
      <c r="P359" s="461"/>
      <c r="Q359" s="461"/>
      <c r="R359" s="461"/>
      <c r="S359" s="461"/>
      <c r="T359" s="461"/>
      <c r="U359" s="461"/>
      <c r="V359" s="461"/>
    </row>
    <row r="360" spans="5:22" s="455" customFormat="1" ht="12.75" hidden="1" customHeight="1">
      <c r="E360" s="452"/>
      <c r="F360" s="452"/>
      <c r="G360" s="452" t="s">
        <v>844</v>
      </c>
      <c r="H360" s="452"/>
      <c r="I360" s="453" t="s">
        <v>844</v>
      </c>
      <c r="J360" s="453"/>
      <c r="K360" s="461"/>
      <c r="L360" s="461"/>
      <c r="M360" s="461"/>
      <c r="N360" s="461"/>
      <c r="O360" s="461"/>
      <c r="P360" s="461"/>
      <c r="Q360" s="461"/>
      <c r="R360" s="461"/>
      <c r="S360" s="461"/>
      <c r="T360" s="461"/>
      <c r="U360" s="461"/>
      <c r="V360" s="461"/>
    </row>
    <row r="361" spans="5:22" s="455" customFormat="1" ht="12.75" hidden="1" customHeight="1">
      <c r="E361" s="452"/>
      <c r="F361" s="452"/>
      <c r="G361" s="452" t="s">
        <v>844</v>
      </c>
      <c r="H361" s="452"/>
      <c r="I361" s="453" t="s">
        <v>844</v>
      </c>
      <c r="J361" s="453"/>
      <c r="K361" s="461"/>
      <c r="L361" s="461"/>
      <c r="M361" s="461"/>
      <c r="N361" s="461"/>
      <c r="O361" s="461"/>
      <c r="P361" s="461"/>
      <c r="Q361" s="461"/>
      <c r="R361" s="461"/>
      <c r="S361" s="461"/>
      <c r="T361" s="461"/>
      <c r="U361" s="461"/>
      <c r="V361" s="461"/>
    </row>
    <row r="362" spans="5:22" s="455" customFormat="1" ht="12.75" hidden="1" customHeight="1">
      <c r="E362" s="452"/>
      <c r="F362" s="452"/>
      <c r="G362" s="452" t="s">
        <v>844</v>
      </c>
      <c r="H362" s="452"/>
      <c r="I362" s="453" t="s">
        <v>844</v>
      </c>
      <c r="J362" s="453"/>
      <c r="K362" s="461"/>
      <c r="L362" s="461"/>
      <c r="M362" s="461"/>
      <c r="N362" s="461"/>
      <c r="O362" s="461"/>
      <c r="P362" s="461"/>
      <c r="Q362" s="461"/>
      <c r="R362" s="461"/>
      <c r="S362" s="461"/>
      <c r="T362" s="461"/>
      <c r="U362" s="461"/>
      <c r="V362" s="461"/>
    </row>
    <row r="363" spans="5:22" s="455" customFormat="1" ht="12.75" hidden="1" customHeight="1">
      <c r="E363" s="452"/>
      <c r="F363" s="452"/>
      <c r="G363" s="452" t="s">
        <v>844</v>
      </c>
      <c r="H363" s="452"/>
      <c r="I363" s="453" t="s">
        <v>844</v>
      </c>
      <c r="J363" s="453"/>
      <c r="K363" s="461"/>
      <c r="L363" s="461"/>
      <c r="M363" s="461"/>
      <c r="N363" s="461"/>
      <c r="O363" s="461"/>
      <c r="P363" s="461"/>
      <c r="Q363" s="461"/>
      <c r="R363" s="461"/>
      <c r="S363" s="461"/>
      <c r="T363" s="461"/>
      <c r="U363" s="461"/>
      <c r="V363" s="461"/>
    </row>
    <row r="364" spans="5:22" s="455" customFormat="1" ht="12.75" hidden="1" customHeight="1">
      <c r="E364" s="452"/>
      <c r="F364" s="452"/>
      <c r="G364" s="452" t="s">
        <v>844</v>
      </c>
      <c r="H364" s="452"/>
      <c r="I364" s="453" t="s">
        <v>844</v>
      </c>
      <c r="J364" s="453"/>
      <c r="K364" s="461"/>
      <c r="L364" s="461"/>
      <c r="M364" s="461"/>
      <c r="N364" s="461"/>
      <c r="O364" s="461"/>
      <c r="P364" s="461"/>
      <c r="Q364" s="461"/>
      <c r="R364" s="461"/>
      <c r="S364" s="461"/>
      <c r="T364" s="461"/>
      <c r="U364" s="461"/>
      <c r="V364" s="461"/>
    </row>
    <row r="365" spans="5:22" s="455" customFormat="1" ht="12.75" hidden="1" customHeight="1">
      <c r="E365" s="452"/>
      <c r="F365" s="452"/>
      <c r="G365" s="452" t="s">
        <v>844</v>
      </c>
      <c r="H365" s="452"/>
      <c r="I365" s="453" t="s">
        <v>844</v>
      </c>
      <c r="J365" s="453"/>
      <c r="K365" s="461"/>
      <c r="L365" s="461"/>
      <c r="M365" s="461"/>
      <c r="N365" s="461"/>
      <c r="O365" s="461"/>
      <c r="P365" s="461"/>
      <c r="Q365" s="461"/>
      <c r="R365" s="461"/>
      <c r="S365" s="461"/>
      <c r="T365" s="461"/>
      <c r="U365" s="461"/>
      <c r="V365" s="461"/>
    </row>
    <row r="366" spans="5:22" s="455" customFormat="1" ht="12.75" hidden="1" customHeight="1">
      <c r="E366" s="452"/>
      <c r="F366" s="452"/>
      <c r="G366" s="452" t="s">
        <v>844</v>
      </c>
      <c r="H366" s="452"/>
      <c r="I366" s="453" t="s">
        <v>844</v>
      </c>
      <c r="J366" s="453"/>
      <c r="K366" s="461"/>
      <c r="L366" s="461"/>
      <c r="M366" s="461"/>
      <c r="N366" s="461"/>
      <c r="O366" s="461"/>
      <c r="P366" s="461"/>
      <c r="Q366" s="461"/>
      <c r="R366" s="461"/>
      <c r="S366" s="461"/>
      <c r="T366" s="461"/>
      <c r="U366" s="461"/>
      <c r="V366" s="461"/>
    </row>
    <row r="367" spans="5:22" s="455" customFormat="1" ht="12.75" hidden="1" customHeight="1">
      <c r="E367" s="452"/>
      <c r="F367" s="452"/>
      <c r="G367" s="452" t="s">
        <v>844</v>
      </c>
      <c r="H367" s="452"/>
      <c r="I367" s="453" t="s">
        <v>844</v>
      </c>
      <c r="J367" s="453"/>
      <c r="K367" s="461"/>
      <c r="L367" s="461"/>
      <c r="M367" s="461"/>
      <c r="N367" s="461"/>
      <c r="O367" s="461"/>
      <c r="P367" s="461"/>
      <c r="Q367" s="461"/>
      <c r="R367" s="461"/>
      <c r="S367" s="461"/>
      <c r="T367" s="461"/>
      <c r="U367" s="461"/>
      <c r="V367" s="461"/>
    </row>
    <row r="368" spans="5:22" s="455" customFormat="1" ht="12.75" hidden="1" customHeight="1">
      <c r="E368" s="452"/>
      <c r="F368" s="452"/>
      <c r="G368" s="452" t="s">
        <v>844</v>
      </c>
      <c r="H368" s="452"/>
      <c r="I368" s="453" t="s">
        <v>844</v>
      </c>
      <c r="J368" s="453"/>
      <c r="K368" s="461"/>
      <c r="L368" s="461"/>
      <c r="M368" s="461"/>
      <c r="N368" s="461"/>
      <c r="O368" s="461"/>
      <c r="P368" s="461"/>
      <c r="Q368" s="461"/>
      <c r="R368" s="461"/>
      <c r="S368" s="461"/>
      <c r="T368" s="461"/>
      <c r="U368" s="461"/>
      <c r="V368" s="461"/>
    </row>
    <row r="369" spans="5:22" s="455" customFormat="1" ht="12.75" hidden="1" customHeight="1">
      <c r="E369" s="452"/>
      <c r="F369" s="452"/>
      <c r="G369" s="452" t="s">
        <v>844</v>
      </c>
      <c r="H369" s="452"/>
      <c r="I369" s="453" t="s">
        <v>844</v>
      </c>
      <c r="J369" s="453"/>
      <c r="K369" s="461"/>
      <c r="L369" s="461"/>
      <c r="M369" s="461"/>
      <c r="N369" s="461"/>
      <c r="O369" s="461"/>
      <c r="P369" s="461"/>
      <c r="Q369" s="461"/>
      <c r="R369" s="461"/>
      <c r="S369" s="461"/>
      <c r="T369" s="461"/>
      <c r="U369" s="461"/>
      <c r="V369" s="461"/>
    </row>
    <row r="370" spans="5:22" s="455" customFormat="1" ht="12.75" hidden="1" customHeight="1">
      <c r="E370" s="452"/>
      <c r="F370" s="452"/>
      <c r="G370" s="452" t="s">
        <v>844</v>
      </c>
      <c r="H370" s="452"/>
      <c r="I370" s="453" t="s">
        <v>844</v>
      </c>
      <c r="J370" s="453"/>
      <c r="K370" s="461"/>
      <c r="L370" s="461"/>
      <c r="M370" s="461"/>
      <c r="N370" s="461"/>
      <c r="O370" s="461"/>
      <c r="P370" s="461"/>
      <c r="Q370" s="461"/>
      <c r="R370" s="461"/>
      <c r="S370" s="461"/>
      <c r="T370" s="461"/>
      <c r="U370" s="461"/>
      <c r="V370" s="461"/>
    </row>
    <row r="371" spans="5:22" s="455" customFormat="1" ht="12.75" hidden="1" customHeight="1">
      <c r="E371" s="452"/>
      <c r="F371" s="452"/>
      <c r="G371" s="452" t="s">
        <v>844</v>
      </c>
      <c r="H371" s="452"/>
      <c r="I371" s="453" t="s">
        <v>844</v>
      </c>
      <c r="J371" s="453"/>
      <c r="K371" s="461"/>
      <c r="L371" s="461"/>
      <c r="M371" s="461"/>
      <c r="N371" s="461"/>
      <c r="O371" s="461"/>
      <c r="P371" s="461"/>
      <c r="Q371" s="461"/>
      <c r="R371" s="461"/>
      <c r="S371" s="461"/>
      <c r="T371" s="461"/>
      <c r="U371" s="461"/>
      <c r="V371" s="461"/>
    </row>
    <row r="372" spans="5:22" s="455" customFormat="1" ht="12.75" hidden="1" customHeight="1">
      <c r="E372" s="452"/>
      <c r="F372" s="452"/>
      <c r="G372" s="452" t="s">
        <v>844</v>
      </c>
      <c r="H372" s="452"/>
      <c r="I372" s="453" t="s">
        <v>844</v>
      </c>
      <c r="J372" s="453"/>
      <c r="K372" s="461"/>
      <c r="L372" s="461"/>
      <c r="M372" s="461"/>
      <c r="N372" s="461"/>
      <c r="O372" s="461"/>
      <c r="P372" s="461"/>
      <c r="Q372" s="461"/>
      <c r="R372" s="461"/>
      <c r="S372" s="461"/>
      <c r="T372" s="461"/>
      <c r="U372" s="461"/>
      <c r="V372" s="461"/>
    </row>
    <row r="373" spans="5:22" s="455" customFormat="1" ht="12.75" hidden="1" customHeight="1">
      <c r="E373" s="452"/>
      <c r="F373" s="452"/>
      <c r="G373" s="452" t="s">
        <v>844</v>
      </c>
      <c r="H373" s="452"/>
      <c r="I373" s="453" t="s">
        <v>844</v>
      </c>
      <c r="J373" s="453"/>
      <c r="K373" s="461"/>
      <c r="L373" s="461"/>
      <c r="M373" s="461"/>
      <c r="N373" s="461"/>
      <c r="O373" s="461"/>
      <c r="P373" s="461"/>
      <c r="Q373" s="461"/>
      <c r="R373" s="461"/>
      <c r="S373" s="461"/>
      <c r="T373" s="461"/>
      <c r="U373" s="461"/>
      <c r="V373" s="461"/>
    </row>
    <row r="374" spans="5:22" s="455" customFormat="1" ht="12.75" hidden="1" customHeight="1">
      <c r="E374" s="452"/>
      <c r="F374" s="452"/>
      <c r="G374" s="452" t="s">
        <v>844</v>
      </c>
      <c r="H374" s="452"/>
      <c r="I374" s="453" t="s">
        <v>844</v>
      </c>
      <c r="J374" s="453"/>
      <c r="K374" s="461"/>
      <c r="L374" s="461"/>
      <c r="M374" s="461"/>
      <c r="N374" s="461"/>
      <c r="O374" s="461"/>
      <c r="P374" s="461"/>
      <c r="Q374" s="461"/>
      <c r="R374" s="461"/>
      <c r="S374" s="461"/>
      <c r="T374" s="461"/>
      <c r="U374" s="461"/>
      <c r="V374" s="461"/>
    </row>
    <row r="375" spans="5:22" s="455" customFormat="1" ht="12.75" hidden="1" customHeight="1">
      <c r="E375" s="452"/>
      <c r="F375" s="452"/>
      <c r="G375" s="452" t="s">
        <v>844</v>
      </c>
      <c r="H375" s="452"/>
      <c r="I375" s="453" t="s">
        <v>844</v>
      </c>
      <c r="J375" s="453"/>
      <c r="K375" s="461"/>
      <c r="L375" s="461"/>
      <c r="M375" s="461"/>
      <c r="N375" s="461"/>
      <c r="O375" s="461"/>
      <c r="P375" s="461"/>
      <c r="Q375" s="461"/>
      <c r="R375" s="461"/>
      <c r="S375" s="461"/>
      <c r="T375" s="461"/>
      <c r="U375" s="461"/>
      <c r="V375" s="461"/>
    </row>
    <row r="376" spans="5:22" s="455" customFormat="1" ht="12.75" hidden="1" customHeight="1">
      <c r="E376" s="452"/>
      <c r="F376" s="452"/>
      <c r="G376" s="452" t="s">
        <v>844</v>
      </c>
      <c r="H376" s="452"/>
      <c r="I376" s="453" t="s">
        <v>844</v>
      </c>
      <c r="J376" s="453"/>
      <c r="K376" s="461"/>
      <c r="L376" s="461"/>
      <c r="M376" s="461"/>
      <c r="N376" s="461"/>
      <c r="O376" s="461"/>
      <c r="P376" s="461"/>
      <c r="Q376" s="461"/>
      <c r="R376" s="461"/>
      <c r="S376" s="461"/>
      <c r="T376" s="461"/>
      <c r="U376" s="461"/>
      <c r="V376" s="461"/>
    </row>
    <row r="377" spans="5:22" s="455" customFormat="1" ht="12.75" hidden="1" customHeight="1">
      <c r="E377" s="452"/>
      <c r="F377" s="452"/>
      <c r="G377" s="452" t="s">
        <v>844</v>
      </c>
      <c r="H377" s="452"/>
      <c r="I377" s="453" t="s">
        <v>844</v>
      </c>
      <c r="J377" s="453"/>
      <c r="K377" s="461"/>
      <c r="L377" s="461"/>
      <c r="M377" s="461"/>
      <c r="N377" s="461"/>
      <c r="O377" s="461"/>
      <c r="P377" s="461"/>
      <c r="Q377" s="461"/>
      <c r="R377" s="461"/>
      <c r="S377" s="461"/>
      <c r="T377" s="461"/>
      <c r="U377" s="461"/>
      <c r="V377" s="461"/>
    </row>
    <row r="378" spans="5:22" s="455" customFormat="1" ht="12.75" hidden="1" customHeight="1">
      <c r="E378" s="452"/>
      <c r="F378" s="452"/>
      <c r="G378" s="452" t="s">
        <v>844</v>
      </c>
      <c r="H378" s="452"/>
      <c r="I378" s="453" t="s">
        <v>844</v>
      </c>
      <c r="J378" s="453"/>
      <c r="K378" s="461"/>
      <c r="L378" s="461"/>
      <c r="M378" s="461"/>
      <c r="N378" s="461"/>
      <c r="O378" s="461"/>
      <c r="P378" s="461"/>
      <c r="Q378" s="461"/>
      <c r="R378" s="461"/>
      <c r="S378" s="461"/>
      <c r="T378" s="461"/>
      <c r="U378" s="461"/>
      <c r="V378" s="461"/>
    </row>
    <row r="379" spans="5:22" s="455" customFormat="1" ht="12.75" hidden="1" customHeight="1">
      <c r="E379" s="452"/>
      <c r="F379" s="452"/>
      <c r="G379" s="452" t="s">
        <v>844</v>
      </c>
      <c r="H379" s="452"/>
      <c r="I379" s="453" t="s">
        <v>844</v>
      </c>
      <c r="J379" s="453"/>
      <c r="K379" s="461"/>
      <c r="L379" s="461"/>
      <c r="M379" s="461"/>
      <c r="N379" s="461"/>
      <c r="O379" s="461"/>
      <c r="P379" s="461"/>
      <c r="Q379" s="461"/>
      <c r="R379" s="461"/>
      <c r="S379" s="461"/>
      <c r="T379" s="461"/>
      <c r="U379" s="461"/>
      <c r="V379" s="461"/>
    </row>
    <row r="380" spans="5:22" s="455" customFormat="1" ht="12.75" hidden="1" customHeight="1">
      <c r="E380" s="452"/>
      <c r="F380" s="452"/>
      <c r="G380" s="452" t="s">
        <v>844</v>
      </c>
      <c r="H380" s="452"/>
      <c r="I380" s="453" t="s">
        <v>844</v>
      </c>
      <c r="J380" s="453"/>
      <c r="K380" s="461"/>
      <c r="L380" s="461"/>
      <c r="M380" s="461"/>
      <c r="N380" s="461"/>
      <c r="O380" s="461"/>
      <c r="P380" s="461"/>
      <c r="Q380" s="461"/>
      <c r="R380" s="461"/>
      <c r="S380" s="461"/>
      <c r="T380" s="461"/>
      <c r="U380" s="461"/>
      <c r="V380" s="461"/>
    </row>
    <row r="381" spans="5:22" s="455" customFormat="1" ht="12.75" hidden="1" customHeight="1">
      <c r="E381" s="452"/>
      <c r="F381" s="452"/>
      <c r="G381" s="452" t="s">
        <v>844</v>
      </c>
      <c r="H381" s="452"/>
      <c r="I381" s="453" t="s">
        <v>844</v>
      </c>
      <c r="J381" s="453"/>
      <c r="K381" s="461"/>
      <c r="L381" s="461"/>
      <c r="M381" s="461"/>
      <c r="N381" s="461"/>
      <c r="O381" s="461"/>
      <c r="P381" s="461"/>
      <c r="Q381" s="461"/>
      <c r="R381" s="461"/>
      <c r="S381" s="461"/>
      <c r="T381" s="461"/>
      <c r="U381" s="461"/>
      <c r="V381" s="461"/>
    </row>
    <row r="382" spans="5:22" s="455" customFormat="1" ht="12.75" hidden="1" customHeight="1">
      <c r="E382" s="452"/>
      <c r="F382" s="452"/>
      <c r="G382" s="452" t="s">
        <v>844</v>
      </c>
      <c r="H382" s="452"/>
      <c r="I382" s="453" t="s">
        <v>844</v>
      </c>
      <c r="J382" s="453"/>
      <c r="K382" s="461"/>
      <c r="L382" s="461"/>
      <c r="M382" s="461"/>
      <c r="N382" s="461"/>
      <c r="O382" s="461"/>
      <c r="P382" s="461"/>
      <c r="Q382" s="461"/>
      <c r="R382" s="461"/>
      <c r="S382" s="461"/>
      <c r="T382" s="461"/>
      <c r="U382" s="461"/>
      <c r="V382" s="461"/>
    </row>
    <row r="383" spans="5:22" s="455" customFormat="1" ht="12.75" hidden="1" customHeight="1">
      <c r="E383" s="452"/>
      <c r="F383" s="452"/>
      <c r="G383" s="452" t="s">
        <v>844</v>
      </c>
      <c r="H383" s="452"/>
      <c r="I383" s="453" t="s">
        <v>844</v>
      </c>
      <c r="J383" s="453"/>
      <c r="K383" s="461"/>
      <c r="L383" s="461"/>
      <c r="M383" s="461"/>
      <c r="N383" s="461"/>
      <c r="O383" s="461"/>
      <c r="P383" s="461"/>
      <c r="Q383" s="461"/>
      <c r="R383" s="461"/>
      <c r="S383" s="461"/>
      <c r="T383" s="461"/>
      <c r="U383" s="461"/>
      <c r="V383" s="461"/>
    </row>
    <row r="384" spans="5:22" s="455" customFormat="1" ht="12.75" hidden="1" customHeight="1">
      <c r="E384" s="452"/>
      <c r="F384" s="452"/>
      <c r="G384" s="452" t="s">
        <v>844</v>
      </c>
      <c r="H384" s="452"/>
      <c r="I384" s="453" t="s">
        <v>844</v>
      </c>
      <c r="J384" s="453"/>
      <c r="K384" s="461"/>
      <c r="L384" s="461"/>
      <c r="M384" s="461"/>
      <c r="N384" s="461"/>
      <c r="O384" s="461"/>
      <c r="P384" s="461"/>
      <c r="Q384" s="461"/>
      <c r="R384" s="461"/>
      <c r="S384" s="461"/>
      <c r="T384" s="461"/>
      <c r="U384" s="461"/>
      <c r="V384" s="461"/>
    </row>
    <row r="385" spans="5:22" s="455" customFormat="1" ht="12.75" hidden="1" customHeight="1">
      <c r="E385" s="452"/>
      <c r="F385" s="452"/>
      <c r="G385" s="452" t="s">
        <v>844</v>
      </c>
      <c r="H385" s="452"/>
      <c r="I385" s="453" t="s">
        <v>844</v>
      </c>
      <c r="J385" s="453"/>
      <c r="K385" s="461"/>
      <c r="L385" s="461"/>
      <c r="M385" s="461"/>
      <c r="N385" s="461"/>
      <c r="O385" s="461"/>
      <c r="P385" s="461"/>
      <c r="Q385" s="461"/>
      <c r="R385" s="461"/>
      <c r="S385" s="461"/>
      <c r="T385" s="461"/>
      <c r="U385" s="461"/>
      <c r="V385" s="461"/>
    </row>
    <row r="386" spans="5:22" s="455" customFormat="1" ht="12.75" hidden="1" customHeight="1">
      <c r="E386" s="452"/>
      <c r="F386" s="452"/>
      <c r="G386" s="452" t="s">
        <v>844</v>
      </c>
      <c r="H386" s="452"/>
      <c r="I386" s="453" t="s">
        <v>844</v>
      </c>
      <c r="J386" s="453"/>
      <c r="K386" s="461"/>
      <c r="L386" s="461"/>
      <c r="M386" s="461"/>
      <c r="N386" s="461"/>
      <c r="O386" s="461"/>
      <c r="P386" s="461"/>
      <c r="Q386" s="461"/>
      <c r="R386" s="461"/>
      <c r="S386" s="461"/>
      <c r="T386" s="461"/>
      <c r="U386" s="461"/>
      <c r="V386" s="461"/>
    </row>
    <row r="387" spans="5:22" s="455" customFormat="1" ht="12.75" hidden="1" customHeight="1">
      <c r="E387" s="452"/>
      <c r="F387" s="452"/>
      <c r="G387" s="452" t="s">
        <v>844</v>
      </c>
      <c r="H387" s="452"/>
      <c r="I387" s="453" t="s">
        <v>844</v>
      </c>
      <c r="J387" s="453"/>
      <c r="K387" s="461"/>
      <c r="L387" s="461"/>
      <c r="M387" s="461"/>
      <c r="N387" s="461"/>
      <c r="O387" s="461"/>
      <c r="P387" s="461"/>
      <c r="Q387" s="461"/>
      <c r="R387" s="461"/>
      <c r="S387" s="461"/>
      <c r="T387" s="461"/>
      <c r="U387" s="461"/>
      <c r="V387" s="461"/>
    </row>
    <row r="388" spans="5:22" s="455" customFormat="1" ht="12.75" hidden="1" customHeight="1">
      <c r="E388" s="452"/>
      <c r="F388" s="452"/>
      <c r="G388" s="452" t="s">
        <v>844</v>
      </c>
      <c r="H388" s="452"/>
      <c r="I388" s="453" t="s">
        <v>844</v>
      </c>
      <c r="J388" s="453"/>
      <c r="K388" s="461"/>
      <c r="L388" s="461"/>
      <c r="M388" s="461"/>
      <c r="N388" s="461"/>
      <c r="O388" s="461"/>
      <c r="P388" s="461"/>
      <c r="Q388" s="461"/>
      <c r="R388" s="461"/>
      <c r="S388" s="461"/>
      <c r="T388" s="461"/>
      <c r="U388" s="461"/>
      <c r="V388" s="461"/>
    </row>
    <row r="389" spans="5:22" s="455" customFormat="1" ht="12.75" hidden="1" customHeight="1">
      <c r="E389" s="452"/>
      <c r="F389" s="452"/>
      <c r="G389" s="452" t="s">
        <v>844</v>
      </c>
      <c r="H389" s="452"/>
      <c r="I389" s="453" t="s">
        <v>844</v>
      </c>
      <c r="J389" s="453"/>
      <c r="K389" s="461"/>
      <c r="L389" s="461"/>
      <c r="M389" s="461"/>
      <c r="N389" s="461"/>
      <c r="O389" s="461"/>
      <c r="P389" s="461"/>
      <c r="Q389" s="461"/>
      <c r="R389" s="461"/>
      <c r="S389" s="461"/>
      <c r="T389" s="461"/>
      <c r="U389" s="461"/>
      <c r="V389" s="461"/>
    </row>
    <row r="390" spans="5:22" s="455" customFormat="1" ht="12.75" hidden="1" customHeight="1">
      <c r="E390" s="452"/>
      <c r="F390" s="452"/>
      <c r="G390" s="452" t="s">
        <v>844</v>
      </c>
      <c r="H390" s="452"/>
      <c r="I390" s="453" t="s">
        <v>844</v>
      </c>
      <c r="J390" s="453"/>
      <c r="K390" s="461"/>
      <c r="L390" s="461"/>
      <c r="M390" s="461"/>
      <c r="N390" s="461"/>
      <c r="O390" s="461"/>
      <c r="P390" s="461"/>
      <c r="Q390" s="461"/>
      <c r="R390" s="461"/>
      <c r="S390" s="461"/>
      <c r="T390" s="461"/>
      <c r="U390" s="461"/>
      <c r="V390" s="461"/>
    </row>
    <row r="391" spans="5:22" s="455" customFormat="1" ht="12.75" hidden="1" customHeight="1">
      <c r="E391" s="452"/>
      <c r="F391" s="452"/>
      <c r="G391" s="452" t="s">
        <v>844</v>
      </c>
      <c r="H391" s="452"/>
      <c r="I391" s="453" t="s">
        <v>844</v>
      </c>
      <c r="J391" s="453"/>
      <c r="K391" s="461"/>
      <c r="L391" s="461"/>
      <c r="M391" s="461"/>
      <c r="N391" s="461"/>
      <c r="O391" s="461"/>
      <c r="P391" s="461"/>
      <c r="Q391" s="461"/>
      <c r="R391" s="461"/>
      <c r="S391" s="461"/>
      <c r="T391" s="461"/>
      <c r="U391" s="461"/>
      <c r="V391" s="461"/>
    </row>
    <row r="392" spans="5:22" s="455" customFormat="1" ht="12.75" hidden="1" customHeight="1">
      <c r="E392" s="452"/>
      <c r="F392" s="452"/>
      <c r="G392" s="452" t="s">
        <v>844</v>
      </c>
      <c r="H392" s="452"/>
      <c r="I392" s="453" t="s">
        <v>844</v>
      </c>
      <c r="J392" s="453"/>
      <c r="K392" s="461"/>
      <c r="L392" s="461"/>
      <c r="M392" s="461"/>
      <c r="N392" s="461"/>
      <c r="O392" s="461"/>
      <c r="P392" s="461"/>
      <c r="Q392" s="461"/>
      <c r="R392" s="461"/>
      <c r="S392" s="461"/>
      <c r="T392" s="461"/>
      <c r="U392" s="461"/>
      <c r="V392" s="461"/>
    </row>
    <row r="393" spans="5:22" s="455" customFormat="1" ht="12.75" hidden="1" customHeight="1">
      <c r="E393" s="452"/>
      <c r="F393" s="452"/>
      <c r="G393" s="452" t="s">
        <v>844</v>
      </c>
      <c r="H393" s="452"/>
      <c r="I393" s="453" t="s">
        <v>844</v>
      </c>
      <c r="J393" s="453"/>
      <c r="K393" s="461"/>
      <c r="L393" s="461"/>
      <c r="M393" s="461"/>
      <c r="N393" s="461"/>
      <c r="O393" s="461"/>
      <c r="P393" s="461"/>
      <c r="Q393" s="461"/>
      <c r="R393" s="461"/>
      <c r="S393" s="461"/>
      <c r="T393" s="461"/>
      <c r="U393" s="461"/>
      <c r="V393" s="461"/>
    </row>
    <row r="394" spans="5:22" s="455" customFormat="1" ht="12.75" hidden="1" customHeight="1">
      <c r="E394" s="452"/>
      <c r="F394" s="452"/>
      <c r="G394" s="452" t="s">
        <v>844</v>
      </c>
      <c r="H394" s="452"/>
      <c r="I394" s="453" t="s">
        <v>844</v>
      </c>
      <c r="J394" s="453"/>
      <c r="K394" s="461"/>
      <c r="L394" s="461"/>
      <c r="M394" s="461"/>
      <c r="N394" s="461"/>
      <c r="O394" s="461"/>
      <c r="P394" s="461"/>
      <c r="Q394" s="461"/>
      <c r="R394" s="461"/>
      <c r="S394" s="461"/>
      <c r="T394" s="461"/>
      <c r="U394" s="461"/>
      <c r="V394" s="461"/>
    </row>
    <row r="395" spans="5:22" s="455" customFormat="1" ht="12.75" hidden="1" customHeight="1">
      <c r="E395" s="452"/>
      <c r="F395" s="452"/>
      <c r="G395" s="452" t="s">
        <v>844</v>
      </c>
      <c r="H395" s="452"/>
      <c r="I395" s="453" t="s">
        <v>844</v>
      </c>
      <c r="J395" s="453"/>
      <c r="K395" s="461"/>
      <c r="L395" s="461"/>
      <c r="M395" s="461"/>
      <c r="N395" s="461"/>
      <c r="O395" s="461"/>
      <c r="P395" s="461"/>
      <c r="Q395" s="461"/>
      <c r="R395" s="461"/>
      <c r="S395" s="461"/>
      <c r="T395" s="461"/>
      <c r="U395" s="461"/>
      <c r="V395" s="461"/>
    </row>
    <row r="396" spans="5:22" s="455" customFormat="1" ht="12.75" hidden="1" customHeight="1">
      <c r="E396" s="452"/>
      <c r="F396" s="452"/>
      <c r="G396" s="452" t="s">
        <v>844</v>
      </c>
      <c r="H396" s="452"/>
      <c r="I396" s="453" t="s">
        <v>844</v>
      </c>
      <c r="J396" s="453"/>
      <c r="K396" s="461"/>
      <c r="L396" s="461"/>
      <c r="M396" s="461"/>
      <c r="N396" s="461"/>
      <c r="O396" s="461"/>
      <c r="P396" s="461"/>
      <c r="Q396" s="461"/>
      <c r="R396" s="461"/>
      <c r="S396" s="461"/>
      <c r="T396" s="461"/>
      <c r="U396" s="461"/>
      <c r="V396" s="461"/>
    </row>
    <row r="397" spans="5:22" s="455" customFormat="1" ht="12.75" hidden="1" customHeight="1">
      <c r="E397" s="452"/>
      <c r="F397" s="452"/>
      <c r="G397" s="452" t="s">
        <v>844</v>
      </c>
      <c r="H397" s="452"/>
      <c r="I397" s="453" t="s">
        <v>844</v>
      </c>
      <c r="J397" s="453"/>
      <c r="K397" s="461"/>
      <c r="L397" s="461"/>
      <c r="M397" s="461"/>
      <c r="N397" s="461"/>
      <c r="O397" s="461"/>
      <c r="P397" s="461"/>
      <c r="Q397" s="461"/>
      <c r="R397" s="461"/>
      <c r="S397" s="461"/>
      <c r="T397" s="461"/>
      <c r="U397" s="461"/>
      <c r="V397" s="461"/>
    </row>
    <row r="398" spans="5:22" s="455" customFormat="1" ht="12.75" hidden="1" customHeight="1">
      <c r="E398" s="452"/>
      <c r="F398" s="452"/>
      <c r="G398" s="452" t="s">
        <v>844</v>
      </c>
      <c r="H398" s="452"/>
      <c r="I398" s="453" t="s">
        <v>844</v>
      </c>
      <c r="J398" s="453"/>
      <c r="K398" s="461"/>
      <c r="L398" s="461"/>
      <c r="M398" s="461"/>
      <c r="N398" s="461"/>
      <c r="O398" s="461"/>
      <c r="P398" s="461"/>
      <c r="Q398" s="461"/>
      <c r="R398" s="461"/>
      <c r="S398" s="461"/>
      <c r="T398" s="461"/>
      <c r="U398" s="461"/>
      <c r="V398" s="461"/>
    </row>
    <row r="399" spans="5:22" s="455" customFormat="1" ht="12.75" hidden="1" customHeight="1">
      <c r="E399" s="452"/>
      <c r="F399" s="452"/>
      <c r="G399" s="452" t="s">
        <v>844</v>
      </c>
      <c r="H399" s="452"/>
      <c r="I399" s="453" t="s">
        <v>844</v>
      </c>
      <c r="J399" s="453"/>
      <c r="K399" s="461"/>
      <c r="L399" s="461"/>
      <c r="M399" s="461"/>
      <c r="N399" s="461"/>
      <c r="O399" s="461"/>
      <c r="P399" s="461"/>
      <c r="Q399" s="461"/>
      <c r="R399" s="461"/>
      <c r="S399" s="461"/>
      <c r="T399" s="461"/>
      <c r="U399" s="461"/>
      <c r="V399" s="461"/>
    </row>
    <row r="400" spans="5:22" s="455" customFormat="1" ht="12.75" hidden="1" customHeight="1">
      <c r="E400" s="452"/>
      <c r="F400" s="452"/>
      <c r="G400" s="452" t="s">
        <v>844</v>
      </c>
      <c r="H400" s="452"/>
      <c r="I400" s="453" t="s">
        <v>844</v>
      </c>
      <c r="J400" s="453"/>
      <c r="K400" s="461"/>
      <c r="L400" s="461"/>
      <c r="M400" s="461"/>
      <c r="N400" s="461"/>
      <c r="O400" s="461"/>
      <c r="P400" s="461"/>
      <c r="Q400" s="461"/>
      <c r="R400" s="461"/>
      <c r="S400" s="461"/>
      <c r="T400" s="461"/>
      <c r="U400" s="461"/>
      <c r="V400" s="461"/>
    </row>
    <row r="401" spans="5:22" s="455" customFormat="1" ht="12.75" hidden="1" customHeight="1">
      <c r="E401" s="452"/>
      <c r="F401" s="452"/>
      <c r="G401" s="452" t="s">
        <v>844</v>
      </c>
      <c r="H401" s="452"/>
      <c r="I401" s="453" t="s">
        <v>844</v>
      </c>
      <c r="J401" s="453"/>
      <c r="K401" s="461"/>
      <c r="L401" s="461"/>
      <c r="M401" s="461"/>
      <c r="N401" s="461"/>
      <c r="O401" s="461"/>
      <c r="P401" s="461"/>
      <c r="Q401" s="461"/>
      <c r="R401" s="461"/>
      <c r="S401" s="461"/>
      <c r="T401" s="461"/>
      <c r="U401" s="461"/>
      <c r="V401" s="461"/>
    </row>
    <row r="402" spans="5:22" s="455" customFormat="1" ht="12.75" hidden="1" customHeight="1">
      <c r="E402" s="452"/>
      <c r="F402" s="452"/>
      <c r="G402" s="452" t="s">
        <v>844</v>
      </c>
      <c r="H402" s="452"/>
      <c r="I402" s="453" t="s">
        <v>844</v>
      </c>
      <c r="J402" s="453"/>
      <c r="K402" s="461"/>
      <c r="L402" s="461"/>
      <c r="M402" s="461"/>
      <c r="N402" s="461"/>
      <c r="O402" s="461"/>
      <c r="P402" s="461"/>
      <c r="Q402" s="461"/>
      <c r="R402" s="461"/>
      <c r="S402" s="461"/>
      <c r="T402" s="461"/>
      <c r="U402" s="461"/>
      <c r="V402" s="461"/>
    </row>
    <row r="403" spans="5:22" s="455" customFormat="1" ht="12.75" hidden="1" customHeight="1">
      <c r="E403" s="452"/>
      <c r="F403" s="452"/>
      <c r="G403" s="452" t="s">
        <v>844</v>
      </c>
      <c r="H403" s="452"/>
      <c r="I403" s="453" t="s">
        <v>844</v>
      </c>
      <c r="J403" s="453"/>
      <c r="K403" s="461"/>
      <c r="L403" s="461"/>
      <c r="M403" s="461"/>
      <c r="N403" s="461"/>
      <c r="O403" s="461"/>
      <c r="P403" s="461"/>
      <c r="Q403" s="461"/>
      <c r="R403" s="461"/>
      <c r="S403" s="461"/>
      <c r="T403" s="461"/>
      <c r="U403" s="461"/>
      <c r="V403" s="461"/>
    </row>
    <row r="404" spans="5:22" s="455" customFormat="1" ht="12.75" hidden="1" customHeight="1">
      <c r="E404" s="452"/>
      <c r="F404" s="452"/>
      <c r="G404" s="452" t="s">
        <v>844</v>
      </c>
      <c r="H404" s="452"/>
      <c r="I404" s="453" t="s">
        <v>844</v>
      </c>
      <c r="J404" s="453"/>
      <c r="K404" s="461"/>
      <c r="L404" s="461"/>
      <c r="M404" s="461"/>
      <c r="N404" s="461"/>
      <c r="O404" s="461"/>
      <c r="P404" s="461"/>
      <c r="Q404" s="461"/>
      <c r="R404" s="461"/>
      <c r="S404" s="461"/>
      <c r="T404" s="461"/>
      <c r="U404" s="461"/>
      <c r="V404" s="461"/>
    </row>
    <row r="405" spans="5:22" s="455" customFormat="1" ht="12.75" hidden="1" customHeight="1">
      <c r="E405" s="452"/>
      <c r="F405" s="452"/>
      <c r="G405" s="452" t="s">
        <v>844</v>
      </c>
      <c r="H405" s="452"/>
      <c r="I405" s="453" t="s">
        <v>844</v>
      </c>
      <c r="J405" s="453"/>
      <c r="K405" s="461"/>
      <c r="L405" s="461"/>
      <c r="M405" s="461"/>
      <c r="N405" s="461"/>
      <c r="O405" s="461"/>
      <c r="P405" s="461"/>
      <c r="Q405" s="461"/>
      <c r="R405" s="461"/>
      <c r="S405" s="461"/>
      <c r="T405" s="461"/>
      <c r="U405" s="461"/>
      <c r="V405" s="461"/>
    </row>
    <row r="406" spans="5:22" s="455" customFormat="1" ht="12.75" hidden="1" customHeight="1">
      <c r="E406" s="452"/>
      <c r="F406" s="452"/>
      <c r="G406" s="452" t="s">
        <v>844</v>
      </c>
      <c r="H406" s="452"/>
      <c r="I406" s="453" t="s">
        <v>844</v>
      </c>
      <c r="J406" s="453"/>
      <c r="K406" s="461"/>
      <c r="L406" s="461"/>
      <c r="M406" s="461"/>
      <c r="N406" s="461"/>
      <c r="O406" s="461"/>
      <c r="P406" s="461"/>
      <c r="Q406" s="461"/>
      <c r="R406" s="461"/>
      <c r="S406" s="461"/>
      <c r="T406" s="461"/>
      <c r="U406" s="461"/>
      <c r="V406" s="461"/>
    </row>
    <row r="407" spans="5:22" s="455" customFormat="1" ht="12.75" hidden="1" customHeight="1">
      <c r="E407" s="452"/>
      <c r="F407" s="452"/>
      <c r="G407" s="452" t="s">
        <v>844</v>
      </c>
      <c r="H407" s="452"/>
      <c r="I407" s="453" t="s">
        <v>844</v>
      </c>
      <c r="J407" s="453"/>
      <c r="K407" s="461"/>
      <c r="L407" s="461"/>
      <c r="M407" s="461"/>
      <c r="N407" s="461"/>
      <c r="O407" s="461"/>
      <c r="P407" s="461"/>
      <c r="Q407" s="461"/>
      <c r="R407" s="461"/>
      <c r="S407" s="461"/>
      <c r="T407" s="461"/>
      <c r="U407" s="461"/>
      <c r="V407" s="461"/>
    </row>
    <row r="408" spans="5:22" s="455" customFormat="1" ht="12.75" hidden="1" customHeight="1">
      <c r="E408" s="452"/>
      <c r="F408" s="452"/>
      <c r="G408" s="452" t="s">
        <v>844</v>
      </c>
      <c r="H408" s="452"/>
      <c r="I408" s="453" t="s">
        <v>844</v>
      </c>
      <c r="J408" s="453"/>
      <c r="K408" s="453"/>
      <c r="L408" s="453"/>
      <c r="M408" s="453"/>
      <c r="N408" s="453"/>
      <c r="O408" s="453"/>
      <c r="P408" s="453"/>
      <c r="Q408" s="453"/>
      <c r="R408" s="453"/>
      <c r="S408" s="453"/>
      <c r="T408" s="453"/>
      <c r="U408" s="453"/>
      <c r="V408" s="453"/>
    </row>
    <row r="409" spans="5:22" s="455" customFormat="1" ht="12.75" hidden="1" customHeight="1">
      <c r="E409" s="452"/>
      <c r="F409" s="452"/>
      <c r="G409" s="452" t="s">
        <v>844</v>
      </c>
      <c r="H409" s="452"/>
      <c r="I409" s="453" t="s">
        <v>844</v>
      </c>
      <c r="J409" s="453"/>
      <c r="K409" s="453"/>
      <c r="L409" s="453"/>
      <c r="M409" s="453"/>
      <c r="N409" s="453"/>
      <c r="O409" s="453"/>
      <c r="P409" s="453"/>
      <c r="Q409" s="453"/>
      <c r="R409" s="453"/>
      <c r="S409" s="453"/>
      <c r="T409" s="453"/>
      <c r="U409" s="453"/>
      <c r="V409" s="453"/>
    </row>
    <row r="410" spans="5:22" s="455" customFormat="1" ht="12.75" hidden="1" customHeight="1">
      <c r="E410" s="452"/>
      <c r="F410" s="452"/>
      <c r="G410" s="452" t="s">
        <v>844</v>
      </c>
      <c r="H410" s="452"/>
      <c r="I410" s="453" t="s">
        <v>844</v>
      </c>
      <c r="J410" s="453"/>
      <c r="K410" s="453"/>
      <c r="L410" s="453"/>
      <c r="M410" s="453"/>
      <c r="N410" s="453"/>
      <c r="O410" s="453"/>
      <c r="P410" s="453"/>
      <c r="Q410" s="453"/>
      <c r="R410" s="453"/>
      <c r="S410" s="453"/>
      <c r="T410" s="453"/>
      <c r="U410" s="453"/>
      <c r="V410" s="453"/>
    </row>
    <row r="411" spans="5:22" s="455" customFormat="1" ht="12.75" hidden="1" customHeight="1">
      <c r="E411" s="452"/>
      <c r="F411" s="452"/>
      <c r="G411" s="452" t="s">
        <v>844</v>
      </c>
      <c r="H411" s="452"/>
      <c r="I411" s="453" t="s">
        <v>844</v>
      </c>
      <c r="J411" s="453"/>
      <c r="K411" s="453"/>
      <c r="L411" s="453"/>
      <c r="M411" s="453"/>
      <c r="N411" s="453"/>
      <c r="O411" s="453"/>
      <c r="P411" s="453"/>
      <c r="Q411" s="453"/>
      <c r="R411" s="453"/>
      <c r="S411" s="453"/>
      <c r="T411" s="453"/>
      <c r="U411" s="453"/>
      <c r="V411" s="453"/>
    </row>
    <row r="412" spans="5:22" s="455" customFormat="1" ht="12.75" hidden="1" customHeight="1">
      <c r="E412" s="452"/>
      <c r="F412" s="452"/>
      <c r="G412" s="452" t="s">
        <v>844</v>
      </c>
      <c r="H412" s="452"/>
      <c r="I412" s="453" t="s">
        <v>844</v>
      </c>
      <c r="J412" s="453"/>
      <c r="K412" s="453"/>
      <c r="L412" s="453"/>
      <c r="M412" s="453"/>
      <c r="N412" s="453"/>
      <c r="O412" s="453"/>
      <c r="P412" s="453"/>
      <c r="Q412" s="453"/>
      <c r="R412" s="453"/>
      <c r="S412" s="453"/>
      <c r="T412" s="453"/>
      <c r="U412" s="453"/>
      <c r="V412" s="453"/>
    </row>
    <row r="413" spans="5:22" s="455" customFormat="1" ht="12.75" hidden="1" customHeight="1">
      <c r="E413" s="452"/>
      <c r="F413" s="452"/>
      <c r="G413" s="452" t="s">
        <v>844</v>
      </c>
      <c r="H413" s="452"/>
      <c r="I413" s="453" t="s">
        <v>844</v>
      </c>
      <c r="J413" s="453"/>
      <c r="K413" s="453"/>
      <c r="L413" s="453"/>
      <c r="M413" s="453"/>
      <c r="N413" s="453"/>
      <c r="O413" s="453"/>
      <c r="P413" s="453"/>
      <c r="Q413" s="453"/>
      <c r="R413" s="453"/>
      <c r="S413" s="453"/>
      <c r="T413" s="453"/>
      <c r="U413" s="453"/>
      <c r="V413" s="453"/>
    </row>
    <row r="414" spans="5:22" s="455" customFormat="1" ht="12.75" hidden="1" customHeight="1">
      <c r="E414" s="452"/>
      <c r="F414" s="452"/>
      <c r="G414" s="452" t="s">
        <v>844</v>
      </c>
      <c r="H414" s="452"/>
      <c r="I414" s="453" t="s">
        <v>844</v>
      </c>
      <c r="J414" s="453"/>
      <c r="K414" s="453"/>
      <c r="L414" s="453"/>
      <c r="M414" s="453"/>
      <c r="N414" s="453"/>
      <c r="O414" s="453"/>
      <c r="P414" s="453"/>
      <c r="Q414" s="453"/>
      <c r="R414" s="453"/>
      <c r="S414" s="453"/>
      <c r="T414" s="453"/>
      <c r="U414" s="453"/>
      <c r="V414" s="453"/>
    </row>
    <row r="415" spans="5:22" s="455" customFormat="1" ht="12.75" hidden="1" customHeight="1">
      <c r="E415" s="452"/>
      <c r="F415" s="452"/>
      <c r="G415" s="452" t="s">
        <v>844</v>
      </c>
      <c r="H415" s="452"/>
      <c r="I415" s="453" t="s">
        <v>844</v>
      </c>
      <c r="J415" s="453"/>
      <c r="K415" s="453"/>
      <c r="L415" s="453"/>
      <c r="M415" s="453"/>
      <c r="N415" s="453"/>
      <c r="O415" s="453"/>
      <c r="P415" s="453"/>
      <c r="Q415" s="453"/>
      <c r="R415" s="453"/>
      <c r="S415" s="453"/>
      <c r="T415" s="453"/>
      <c r="U415" s="453"/>
      <c r="V415" s="453"/>
    </row>
    <row r="416" spans="5:22" s="455" customFormat="1" ht="12.75" hidden="1" customHeight="1">
      <c r="E416" s="452"/>
      <c r="F416" s="452"/>
      <c r="G416" s="452" t="s">
        <v>844</v>
      </c>
      <c r="H416" s="452"/>
      <c r="I416" s="453" t="s">
        <v>844</v>
      </c>
      <c r="J416" s="453"/>
      <c r="K416" s="453"/>
      <c r="L416" s="453"/>
      <c r="M416" s="453"/>
      <c r="N416" s="453"/>
      <c r="O416" s="453"/>
      <c r="P416" s="453"/>
      <c r="Q416" s="453"/>
      <c r="R416" s="453"/>
      <c r="S416" s="453"/>
      <c r="T416" s="453"/>
      <c r="U416" s="453"/>
      <c r="V416" s="453"/>
    </row>
    <row r="417" spans="5:22" s="455" customFormat="1" ht="12.75" hidden="1" customHeight="1">
      <c r="E417" s="452"/>
      <c r="F417" s="452"/>
      <c r="G417" s="452" t="s">
        <v>844</v>
      </c>
      <c r="H417" s="452"/>
      <c r="I417" s="453" t="s">
        <v>844</v>
      </c>
      <c r="J417" s="453"/>
      <c r="K417" s="453"/>
      <c r="L417" s="453"/>
      <c r="M417" s="453"/>
      <c r="N417" s="453"/>
      <c r="O417" s="453"/>
      <c r="P417" s="453"/>
      <c r="Q417" s="453"/>
      <c r="R417" s="453"/>
      <c r="S417" s="453"/>
      <c r="T417" s="453"/>
      <c r="U417" s="453"/>
      <c r="V417" s="453"/>
    </row>
    <row r="418" spans="5:22" s="455" customFormat="1" ht="12.75" hidden="1" customHeight="1">
      <c r="E418" s="452"/>
      <c r="F418" s="452"/>
      <c r="G418" s="452" t="s">
        <v>844</v>
      </c>
      <c r="H418" s="452"/>
      <c r="I418" s="453" t="s">
        <v>844</v>
      </c>
      <c r="J418" s="453"/>
      <c r="K418" s="453"/>
      <c r="L418" s="453"/>
      <c r="M418" s="453"/>
      <c r="N418" s="453"/>
      <c r="O418" s="453"/>
      <c r="P418" s="453"/>
      <c r="Q418" s="453"/>
      <c r="R418" s="453"/>
      <c r="S418" s="453"/>
      <c r="T418" s="453"/>
      <c r="U418" s="453"/>
      <c r="V418" s="453"/>
    </row>
    <row r="419" spans="5:22" s="455" customFormat="1" ht="12.75" hidden="1" customHeight="1">
      <c r="E419" s="452"/>
      <c r="F419" s="452"/>
      <c r="G419" s="452" t="s">
        <v>844</v>
      </c>
      <c r="H419" s="452"/>
      <c r="I419" s="453" t="s">
        <v>844</v>
      </c>
      <c r="J419" s="453"/>
      <c r="K419" s="453"/>
      <c r="L419" s="453"/>
      <c r="M419" s="453"/>
      <c r="N419" s="453"/>
      <c r="O419" s="453"/>
      <c r="P419" s="453"/>
      <c r="Q419" s="453"/>
      <c r="R419" s="453"/>
      <c r="S419" s="453"/>
      <c r="T419" s="453"/>
      <c r="U419" s="453"/>
      <c r="V419" s="453"/>
    </row>
    <row r="420" spans="5:22" s="455" customFormat="1" ht="12.75" hidden="1" customHeight="1">
      <c r="E420" s="452"/>
      <c r="F420" s="452"/>
      <c r="G420" s="452" t="s">
        <v>844</v>
      </c>
      <c r="H420" s="452"/>
      <c r="I420" s="453" t="s">
        <v>844</v>
      </c>
      <c r="J420" s="453"/>
      <c r="K420" s="453"/>
      <c r="L420" s="453"/>
      <c r="M420" s="453"/>
      <c r="N420" s="453"/>
      <c r="O420" s="453"/>
      <c r="P420" s="453"/>
      <c r="Q420" s="453"/>
      <c r="R420" s="453"/>
      <c r="S420" s="453"/>
      <c r="T420" s="453"/>
      <c r="U420" s="453"/>
      <c r="V420" s="453"/>
    </row>
    <row r="421" spans="5:22" s="455" customFormat="1" ht="12.75" hidden="1" customHeight="1">
      <c r="E421" s="452"/>
      <c r="F421" s="452"/>
      <c r="G421" s="452" t="s">
        <v>844</v>
      </c>
      <c r="H421" s="452"/>
      <c r="I421" s="453" t="s">
        <v>844</v>
      </c>
      <c r="J421" s="453"/>
      <c r="K421" s="453"/>
      <c r="L421" s="453"/>
      <c r="M421" s="453"/>
      <c r="N421" s="453"/>
      <c r="O421" s="453"/>
      <c r="P421" s="453"/>
      <c r="Q421" s="453"/>
      <c r="R421" s="453"/>
      <c r="S421" s="453"/>
      <c r="T421" s="453"/>
      <c r="U421" s="453"/>
      <c r="V421" s="453"/>
    </row>
    <row r="422" spans="5:22" s="455" customFormat="1" ht="12.75" hidden="1" customHeight="1">
      <c r="E422" s="452"/>
      <c r="F422" s="452"/>
      <c r="G422" s="452" t="s">
        <v>844</v>
      </c>
      <c r="H422" s="452"/>
      <c r="I422" s="453" t="s">
        <v>844</v>
      </c>
      <c r="J422" s="453"/>
      <c r="K422" s="453"/>
      <c r="L422" s="453"/>
      <c r="M422" s="453"/>
      <c r="N422" s="453"/>
      <c r="O422" s="453"/>
      <c r="P422" s="453"/>
      <c r="Q422" s="453"/>
      <c r="R422" s="453"/>
      <c r="S422" s="453"/>
      <c r="T422" s="453"/>
      <c r="U422" s="453"/>
      <c r="V422" s="453"/>
    </row>
    <row r="423" spans="5:22" s="455" customFormat="1" ht="12.75" hidden="1" customHeight="1">
      <c r="E423" s="452"/>
      <c r="F423" s="452"/>
      <c r="G423" s="452" t="s">
        <v>844</v>
      </c>
      <c r="H423" s="452"/>
      <c r="I423" s="453" t="s">
        <v>844</v>
      </c>
      <c r="J423" s="453"/>
      <c r="K423" s="453"/>
      <c r="L423" s="453"/>
      <c r="M423" s="453"/>
      <c r="N423" s="453"/>
      <c r="O423" s="453"/>
      <c r="P423" s="453"/>
      <c r="Q423" s="453"/>
      <c r="R423" s="453"/>
      <c r="S423" s="453"/>
      <c r="T423" s="453"/>
      <c r="U423" s="453"/>
      <c r="V423" s="453"/>
    </row>
    <row r="424" spans="5:22" s="455" customFormat="1" ht="12.75" hidden="1" customHeight="1">
      <c r="E424" s="452"/>
      <c r="F424" s="452"/>
      <c r="G424" s="452" t="s">
        <v>844</v>
      </c>
      <c r="H424" s="452"/>
      <c r="I424" s="453" t="s">
        <v>844</v>
      </c>
      <c r="J424" s="453"/>
      <c r="K424" s="453"/>
      <c r="L424" s="453"/>
      <c r="M424" s="453"/>
      <c r="N424" s="453"/>
      <c r="O424" s="453"/>
      <c r="P424" s="453"/>
      <c r="Q424" s="453"/>
      <c r="R424" s="453"/>
      <c r="S424" s="453"/>
      <c r="T424" s="453"/>
      <c r="U424" s="453"/>
      <c r="V424" s="453"/>
    </row>
    <row r="425" spans="5:22" s="455" customFormat="1" ht="12.75" hidden="1" customHeight="1">
      <c r="E425" s="452"/>
      <c r="F425" s="452"/>
      <c r="G425" s="452" t="s">
        <v>844</v>
      </c>
      <c r="H425" s="452"/>
      <c r="I425" s="453" t="s">
        <v>844</v>
      </c>
      <c r="J425" s="453"/>
      <c r="K425" s="453"/>
      <c r="L425" s="453"/>
      <c r="M425" s="453"/>
      <c r="N425" s="453"/>
      <c r="O425" s="453"/>
      <c r="P425" s="453"/>
      <c r="Q425" s="453"/>
      <c r="R425" s="453"/>
      <c r="S425" s="453"/>
      <c r="T425" s="453"/>
      <c r="U425" s="453"/>
      <c r="V425" s="453"/>
    </row>
    <row r="426" spans="5:22" s="455" customFormat="1" ht="12.75" hidden="1" customHeight="1">
      <c r="E426" s="452"/>
      <c r="F426" s="452"/>
      <c r="G426" s="452" t="s">
        <v>844</v>
      </c>
      <c r="H426" s="452"/>
      <c r="I426" s="453" t="s">
        <v>844</v>
      </c>
      <c r="J426" s="453"/>
      <c r="K426" s="453"/>
      <c r="L426" s="453"/>
      <c r="M426" s="453"/>
      <c r="N426" s="453"/>
      <c r="O426" s="453"/>
      <c r="P426" s="453"/>
      <c r="Q426" s="453"/>
      <c r="R426" s="453"/>
      <c r="S426" s="453"/>
      <c r="T426" s="453"/>
      <c r="U426" s="453"/>
      <c r="V426" s="453"/>
    </row>
    <row r="427" spans="5:22" s="455" customFormat="1" ht="12.75" hidden="1" customHeight="1">
      <c r="E427" s="452"/>
      <c r="F427" s="452"/>
      <c r="G427" s="452" t="s">
        <v>844</v>
      </c>
      <c r="H427" s="452"/>
      <c r="I427" s="453" t="s">
        <v>844</v>
      </c>
      <c r="J427" s="453"/>
      <c r="K427" s="453"/>
      <c r="L427" s="453"/>
      <c r="M427" s="453"/>
      <c r="N427" s="453"/>
      <c r="O427" s="453"/>
      <c r="P427" s="453"/>
      <c r="Q427" s="453"/>
      <c r="R427" s="453"/>
      <c r="S427" s="453"/>
      <c r="T427" s="453"/>
      <c r="U427" s="453"/>
      <c r="V427" s="453"/>
    </row>
    <row r="428" spans="5:22" s="455" customFormat="1" ht="12.75" hidden="1" customHeight="1">
      <c r="E428" s="452"/>
      <c r="F428" s="452"/>
      <c r="G428" s="452" t="s">
        <v>844</v>
      </c>
      <c r="H428" s="452"/>
      <c r="I428" s="453" t="s">
        <v>844</v>
      </c>
      <c r="J428" s="453"/>
      <c r="K428" s="453"/>
      <c r="L428" s="453"/>
      <c r="M428" s="453"/>
      <c r="N428" s="453"/>
      <c r="O428" s="453"/>
      <c r="P428" s="453"/>
      <c r="Q428" s="453"/>
      <c r="R428" s="453"/>
      <c r="S428" s="453"/>
      <c r="T428" s="453"/>
      <c r="U428" s="453"/>
      <c r="V428" s="453"/>
    </row>
    <row r="429" spans="5:22" s="455" customFormat="1" ht="12.75" hidden="1" customHeight="1">
      <c r="E429" s="452"/>
      <c r="F429" s="452"/>
      <c r="G429" s="452" t="s">
        <v>844</v>
      </c>
      <c r="H429" s="452"/>
      <c r="I429" s="453" t="s">
        <v>844</v>
      </c>
      <c r="J429" s="453"/>
      <c r="K429" s="453"/>
      <c r="L429" s="453"/>
      <c r="M429" s="453"/>
      <c r="N429" s="453"/>
      <c r="O429" s="453"/>
      <c r="P429" s="453"/>
      <c r="Q429" s="453"/>
      <c r="R429" s="453"/>
      <c r="S429" s="453"/>
      <c r="T429" s="453"/>
      <c r="U429" s="453"/>
      <c r="V429" s="453"/>
    </row>
    <row r="430" spans="5:22" s="455" customFormat="1" ht="12.75" hidden="1" customHeight="1">
      <c r="E430" s="452"/>
      <c r="F430" s="452"/>
      <c r="G430" s="452" t="s">
        <v>844</v>
      </c>
      <c r="H430" s="452"/>
      <c r="I430" s="453" t="s">
        <v>844</v>
      </c>
      <c r="J430" s="453"/>
      <c r="K430" s="453"/>
      <c r="L430" s="453"/>
      <c r="M430" s="453"/>
      <c r="N430" s="453"/>
      <c r="O430" s="453"/>
      <c r="P430" s="453"/>
      <c r="Q430" s="453"/>
      <c r="R430" s="453"/>
      <c r="S430" s="453"/>
      <c r="T430" s="453"/>
      <c r="U430" s="453"/>
      <c r="V430" s="453"/>
    </row>
    <row r="431" spans="5:22" s="455" customFormat="1" ht="12.75" hidden="1" customHeight="1">
      <c r="E431" s="452"/>
      <c r="F431" s="452"/>
      <c r="G431" s="452" t="s">
        <v>844</v>
      </c>
      <c r="H431" s="452"/>
      <c r="I431" s="453" t="s">
        <v>844</v>
      </c>
      <c r="J431" s="453"/>
      <c r="K431" s="453"/>
      <c r="L431" s="453"/>
      <c r="M431" s="453"/>
      <c r="N431" s="453"/>
      <c r="O431" s="453"/>
      <c r="P431" s="453"/>
      <c r="Q431" s="453"/>
      <c r="R431" s="453"/>
      <c r="S431" s="453"/>
      <c r="T431" s="453"/>
      <c r="U431" s="453"/>
      <c r="V431" s="453"/>
    </row>
    <row r="432" spans="5:22" s="455" customFormat="1" ht="12.75" hidden="1" customHeight="1">
      <c r="E432" s="452"/>
      <c r="F432" s="452"/>
      <c r="G432" s="452" t="s">
        <v>844</v>
      </c>
      <c r="H432" s="452"/>
      <c r="I432" s="453" t="s">
        <v>844</v>
      </c>
      <c r="J432" s="453"/>
      <c r="K432" s="453"/>
      <c r="L432" s="453"/>
      <c r="M432" s="453"/>
      <c r="N432" s="453"/>
      <c r="O432" s="453"/>
      <c r="P432" s="453"/>
      <c r="Q432" s="453"/>
      <c r="R432" s="453"/>
      <c r="S432" s="453"/>
      <c r="T432" s="453"/>
      <c r="U432" s="453"/>
      <c r="V432" s="453"/>
    </row>
    <row r="433" spans="5:22" s="455" customFormat="1" ht="12.75" hidden="1" customHeight="1">
      <c r="E433" s="452"/>
      <c r="F433" s="452"/>
      <c r="G433" s="452" t="s">
        <v>844</v>
      </c>
      <c r="H433" s="452"/>
      <c r="I433" s="453" t="s">
        <v>844</v>
      </c>
      <c r="J433" s="453"/>
      <c r="K433" s="453"/>
      <c r="L433" s="453"/>
      <c r="M433" s="453"/>
      <c r="N433" s="453"/>
      <c r="O433" s="453"/>
      <c r="P433" s="453"/>
      <c r="Q433" s="453"/>
      <c r="R433" s="453"/>
      <c r="S433" s="453"/>
      <c r="T433" s="453"/>
      <c r="U433" s="453"/>
      <c r="V433" s="453"/>
    </row>
    <row r="434" spans="5:22" s="455" customFormat="1" ht="12.75" hidden="1" customHeight="1">
      <c r="E434" s="452"/>
      <c r="F434" s="452"/>
      <c r="G434" s="452" t="s">
        <v>844</v>
      </c>
      <c r="H434" s="452"/>
      <c r="I434" s="453" t="s">
        <v>844</v>
      </c>
      <c r="J434" s="453"/>
      <c r="K434" s="453"/>
      <c r="L434" s="453"/>
      <c r="M434" s="453"/>
      <c r="N434" s="453"/>
      <c r="O434" s="453"/>
      <c r="P434" s="453"/>
      <c r="Q434" s="453"/>
      <c r="R434" s="453"/>
      <c r="S434" s="453"/>
      <c r="T434" s="453"/>
      <c r="U434" s="453"/>
      <c r="V434" s="453"/>
    </row>
    <row r="435" spans="5:22" s="455" customFormat="1" ht="12.75" hidden="1" customHeight="1">
      <c r="E435" s="452"/>
      <c r="F435" s="452"/>
      <c r="G435" s="452" t="s">
        <v>844</v>
      </c>
      <c r="H435" s="452"/>
      <c r="I435" s="453" t="s">
        <v>844</v>
      </c>
      <c r="J435" s="453"/>
      <c r="K435" s="453"/>
      <c r="L435" s="453"/>
      <c r="M435" s="453"/>
      <c r="N435" s="453"/>
      <c r="O435" s="453"/>
      <c r="P435" s="453"/>
      <c r="Q435" s="453"/>
      <c r="R435" s="453"/>
      <c r="S435" s="453"/>
      <c r="T435" s="453"/>
      <c r="U435" s="453"/>
      <c r="V435" s="453"/>
    </row>
    <row r="436" spans="5:22" s="455" customFormat="1" ht="12.75" hidden="1" customHeight="1">
      <c r="E436" s="452"/>
      <c r="F436" s="452"/>
      <c r="G436" s="452" t="s">
        <v>844</v>
      </c>
      <c r="H436" s="452"/>
      <c r="I436" s="453" t="s">
        <v>844</v>
      </c>
      <c r="J436" s="453"/>
      <c r="K436" s="453"/>
      <c r="L436" s="453"/>
      <c r="M436" s="453"/>
      <c r="N436" s="453"/>
      <c r="O436" s="453"/>
      <c r="P436" s="453"/>
      <c r="Q436" s="453"/>
      <c r="R436" s="453"/>
      <c r="S436" s="453"/>
      <c r="T436" s="453"/>
      <c r="U436" s="453"/>
      <c r="V436" s="453"/>
    </row>
    <row r="437" spans="5:22" s="455" customFormat="1" ht="12.75" hidden="1" customHeight="1">
      <c r="E437" s="452"/>
      <c r="F437" s="452"/>
      <c r="G437" s="452" t="s">
        <v>844</v>
      </c>
      <c r="H437" s="452"/>
      <c r="I437" s="453" t="s">
        <v>844</v>
      </c>
      <c r="J437" s="453"/>
      <c r="K437" s="453"/>
      <c r="L437" s="453"/>
      <c r="M437" s="453"/>
      <c r="N437" s="453"/>
      <c r="O437" s="453"/>
      <c r="P437" s="453"/>
      <c r="Q437" s="453"/>
      <c r="R437" s="453"/>
      <c r="S437" s="453"/>
      <c r="T437" s="453"/>
      <c r="U437" s="453"/>
      <c r="V437" s="453"/>
    </row>
    <row r="438" spans="5:22" s="455" customFormat="1" ht="12.75" hidden="1" customHeight="1">
      <c r="E438" s="452"/>
      <c r="F438" s="452"/>
      <c r="G438" s="452" t="s">
        <v>844</v>
      </c>
      <c r="H438" s="452"/>
      <c r="I438" s="453" t="s">
        <v>844</v>
      </c>
      <c r="J438" s="453"/>
      <c r="K438" s="453"/>
      <c r="L438" s="453"/>
      <c r="M438" s="453"/>
      <c r="N438" s="453"/>
      <c r="O438" s="453"/>
      <c r="P438" s="453"/>
      <c r="Q438" s="453"/>
      <c r="R438" s="453"/>
      <c r="S438" s="453"/>
      <c r="T438" s="453"/>
      <c r="U438" s="453"/>
      <c r="V438" s="453"/>
    </row>
    <row r="439" spans="5:22" s="455" customFormat="1" ht="12.75" hidden="1" customHeight="1">
      <c r="E439" s="452"/>
      <c r="F439" s="452"/>
      <c r="G439" s="452" t="s">
        <v>844</v>
      </c>
      <c r="H439" s="452"/>
      <c r="I439" s="453" t="s">
        <v>844</v>
      </c>
      <c r="J439" s="453"/>
      <c r="K439" s="453"/>
      <c r="L439" s="453"/>
      <c r="M439" s="453"/>
      <c r="N439" s="453"/>
      <c r="O439" s="453"/>
      <c r="P439" s="453"/>
      <c r="Q439" s="453"/>
      <c r="R439" s="453"/>
      <c r="S439" s="453"/>
      <c r="T439" s="453"/>
      <c r="U439" s="453"/>
      <c r="V439" s="453"/>
    </row>
    <row r="440" spans="5:22" s="455" customFormat="1" ht="12.75" hidden="1" customHeight="1">
      <c r="E440" s="452"/>
      <c r="F440" s="452"/>
      <c r="G440" s="452" t="s">
        <v>844</v>
      </c>
      <c r="H440" s="452"/>
      <c r="I440" s="453" t="s">
        <v>844</v>
      </c>
      <c r="J440" s="453"/>
      <c r="K440" s="453"/>
      <c r="L440" s="453"/>
      <c r="M440" s="453"/>
      <c r="N440" s="453"/>
      <c r="O440" s="453"/>
      <c r="P440" s="453"/>
      <c r="Q440" s="453"/>
      <c r="R440" s="453"/>
      <c r="S440" s="453"/>
      <c r="T440" s="453"/>
      <c r="U440" s="453"/>
      <c r="V440" s="453"/>
    </row>
    <row r="441" spans="5:22" s="455" customFormat="1" ht="12.75" hidden="1" customHeight="1">
      <c r="E441" s="452"/>
      <c r="F441" s="452"/>
      <c r="G441" s="452" t="s">
        <v>844</v>
      </c>
      <c r="H441" s="452"/>
      <c r="I441" s="453" t="s">
        <v>844</v>
      </c>
      <c r="J441" s="453"/>
      <c r="K441" s="453"/>
      <c r="L441" s="453"/>
      <c r="M441" s="453"/>
      <c r="N441" s="453"/>
      <c r="O441" s="453"/>
      <c r="P441" s="453"/>
      <c r="Q441" s="453"/>
      <c r="R441" s="453"/>
      <c r="S441" s="453"/>
      <c r="T441" s="453"/>
      <c r="U441" s="453"/>
      <c r="V441" s="453"/>
    </row>
    <row r="442" spans="5:22" s="455" customFormat="1" ht="12.75" hidden="1" customHeight="1">
      <c r="E442" s="452"/>
      <c r="F442" s="452"/>
      <c r="G442" s="452" t="s">
        <v>844</v>
      </c>
      <c r="H442" s="452"/>
      <c r="I442" s="453" t="s">
        <v>844</v>
      </c>
      <c r="J442" s="453"/>
      <c r="K442" s="453"/>
      <c r="L442" s="453"/>
      <c r="M442" s="453"/>
      <c r="N442" s="453"/>
      <c r="O442" s="453"/>
      <c r="P442" s="453"/>
      <c r="Q442" s="453"/>
      <c r="R442" s="453"/>
      <c r="S442" s="453"/>
      <c r="T442" s="453"/>
      <c r="U442" s="453"/>
      <c r="V442" s="453"/>
    </row>
    <row r="443" spans="5:22" s="455" customFormat="1" ht="12.75" hidden="1" customHeight="1">
      <c r="E443" s="452"/>
      <c r="F443" s="452"/>
      <c r="G443" s="452" t="s">
        <v>844</v>
      </c>
      <c r="H443" s="452"/>
      <c r="I443" s="453" t="s">
        <v>844</v>
      </c>
      <c r="J443" s="453"/>
      <c r="K443" s="453"/>
      <c r="L443" s="453"/>
      <c r="M443" s="453"/>
      <c r="N443" s="453"/>
      <c r="O443" s="453"/>
      <c r="P443" s="453"/>
      <c r="Q443" s="453"/>
      <c r="R443" s="453"/>
      <c r="S443" s="453"/>
      <c r="T443" s="453"/>
      <c r="U443" s="453"/>
      <c r="V443" s="453"/>
    </row>
    <row r="444" spans="5:22" s="455" customFormat="1" ht="12.75" hidden="1" customHeight="1">
      <c r="E444" s="452"/>
      <c r="F444" s="452"/>
      <c r="G444" s="452" t="s">
        <v>844</v>
      </c>
      <c r="H444" s="452"/>
      <c r="I444" s="453" t="s">
        <v>844</v>
      </c>
      <c r="J444" s="453"/>
      <c r="K444" s="453"/>
      <c r="L444" s="453"/>
      <c r="M444" s="453"/>
      <c r="N444" s="453"/>
      <c r="O444" s="453"/>
      <c r="P444" s="453"/>
      <c r="Q444" s="453"/>
      <c r="R444" s="453"/>
      <c r="S444" s="453"/>
      <c r="T444" s="453"/>
      <c r="U444" s="453"/>
      <c r="V444" s="453"/>
    </row>
    <row r="445" spans="5:22" s="455" customFormat="1" ht="12.75" hidden="1" customHeight="1">
      <c r="E445" s="452"/>
      <c r="F445" s="452"/>
      <c r="G445" s="452" t="s">
        <v>844</v>
      </c>
      <c r="H445" s="452"/>
      <c r="I445" s="453" t="s">
        <v>844</v>
      </c>
      <c r="J445" s="453"/>
      <c r="K445" s="453"/>
      <c r="L445" s="453"/>
      <c r="M445" s="453"/>
      <c r="N445" s="453"/>
      <c r="O445" s="453"/>
      <c r="P445" s="453"/>
      <c r="Q445" s="453"/>
      <c r="R445" s="453"/>
      <c r="S445" s="453"/>
      <c r="T445" s="453"/>
      <c r="U445" s="453"/>
      <c r="V445" s="453"/>
    </row>
    <row r="446" spans="5:22" s="455" customFormat="1" ht="12.75" hidden="1" customHeight="1">
      <c r="E446" s="452"/>
      <c r="F446" s="452"/>
      <c r="G446" s="452" t="s">
        <v>844</v>
      </c>
      <c r="H446" s="452"/>
      <c r="I446" s="453" t="s">
        <v>844</v>
      </c>
      <c r="J446" s="453"/>
      <c r="K446" s="453"/>
      <c r="L446" s="453"/>
      <c r="M446" s="453"/>
      <c r="N446" s="453"/>
      <c r="O446" s="453"/>
      <c r="P446" s="453"/>
      <c r="Q446" s="453"/>
      <c r="R446" s="453"/>
      <c r="S446" s="453"/>
      <c r="T446" s="453"/>
      <c r="U446" s="453"/>
      <c r="V446" s="453"/>
    </row>
    <row r="447" spans="5:22" s="455" customFormat="1" ht="12.75" hidden="1" customHeight="1">
      <c r="E447" s="452"/>
      <c r="F447" s="452"/>
      <c r="G447" s="452" t="s">
        <v>844</v>
      </c>
      <c r="H447" s="452"/>
      <c r="I447" s="453" t="s">
        <v>844</v>
      </c>
      <c r="J447" s="453"/>
      <c r="K447" s="453"/>
      <c r="L447" s="453"/>
      <c r="M447" s="453"/>
      <c r="N447" s="453"/>
      <c r="O447" s="453"/>
      <c r="P447" s="453"/>
      <c r="Q447" s="453"/>
      <c r="R447" s="453"/>
      <c r="S447" s="453"/>
      <c r="T447" s="453"/>
      <c r="U447" s="453"/>
      <c r="V447" s="453"/>
    </row>
    <row r="448" spans="5:22" s="455" customFormat="1" ht="12.75" hidden="1" customHeight="1">
      <c r="E448" s="452"/>
      <c r="F448" s="452"/>
      <c r="G448" s="452" t="s">
        <v>844</v>
      </c>
      <c r="H448" s="452"/>
      <c r="I448" s="453" t="s">
        <v>844</v>
      </c>
      <c r="J448" s="453"/>
      <c r="K448" s="453"/>
      <c r="L448" s="453"/>
      <c r="M448" s="453"/>
      <c r="N448" s="453"/>
      <c r="O448" s="453"/>
      <c r="P448" s="453"/>
      <c r="Q448" s="453"/>
      <c r="R448" s="453"/>
      <c r="S448" s="453"/>
      <c r="T448" s="453"/>
      <c r="U448" s="453"/>
      <c r="V448" s="453"/>
    </row>
    <row r="449" spans="5:22" s="455" customFormat="1" ht="12.75" hidden="1" customHeight="1">
      <c r="E449" s="452"/>
      <c r="F449" s="452"/>
      <c r="G449" s="452" t="s">
        <v>844</v>
      </c>
      <c r="H449" s="452"/>
      <c r="I449" s="453" t="s">
        <v>844</v>
      </c>
      <c r="J449" s="453"/>
      <c r="K449" s="453"/>
      <c r="L449" s="453"/>
      <c r="M449" s="453"/>
      <c r="N449" s="453"/>
      <c r="O449" s="453"/>
      <c r="P449" s="453"/>
      <c r="Q449" s="453"/>
      <c r="R449" s="453"/>
      <c r="S449" s="453"/>
      <c r="T449" s="453"/>
      <c r="U449" s="453"/>
      <c r="V449" s="453"/>
    </row>
    <row r="450" spans="5:22" s="455" customFormat="1" ht="12.75" hidden="1" customHeight="1">
      <c r="E450" s="452"/>
      <c r="F450" s="452"/>
      <c r="G450" s="452" t="s">
        <v>844</v>
      </c>
      <c r="H450" s="452"/>
      <c r="I450" s="453" t="s">
        <v>844</v>
      </c>
      <c r="J450" s="453"/>
      <c r="K450" s="453"/>
      <c r="L450" s="453"/>
      <c r="M450" s="453"/>
      <c r="N450" s="453"/>
      <c r="O450" s="453"/>
      <c r="P450" s="453"/>
      <c r="Q450" s="453"/>
      <c r="R450" s="453"/>
      <c r="S450" s="453"/>
      <c r="T450" s="453"/>
      <c r="U450" s="453"/>
      <c r="V450" s="453"/>
    </row>
    <row r="451" spans="5:22" s="455" customFormat="1" ht="12.75" hidden="1" customHeight="1">
      <c r="E451" s="452"/>
      <c r="F451" s="452"/>
      <c r="G451" s="452" t="s">
        <v>844</v>
      </c>
      <c r="H451" s="452"/>
      <c r="I451" s="453" t="s">
        <v>844</v>
      </c>
      <c r="J451" s="453"/>
      <c r="K451" s="453"/>
      <c r="L451" s="453"/>
      <c r="M451" s="453"/>
      <c r="N451" s="453"/>
      <c r="O451" s="453"/>
      <c r="P451" s="453"/>
      <c r="Q451" s="453"/>
      <c r="R451" s="453"/>
      <c r="S451" s="453"/>
      <c r="T451" s="453"/>
      <c r="U451" s="453"/>
      <c r="V451" s="453"/>
    </row>
    <row r="452" spans="5:22" s="455" customFormat="1" ht="12.75" hidden="1" customHeight="1">
      <c r="E452" s="452"/>
      <c r="F452" s="452"/>
      <c r="G452" s="452" t="s">
        <v>844</v>
      </c>
      <c r="H452" s="452"/>
      <c r="I452" s="453" t="s">
        <v>844</v>
      </c>
      <c r="J452" s="453"/>
      <c r="K452" s="453"/>
      <c r="L452" s="453"/>
      <c r="M452" s="453"/>
      <c r="N452" s="453"/>
      <c r="O452" s="453"/>
      <c r="P452" s="453"/>
      <c r="Q452" s="453"/>
      <c r="R452" s="453"/>
      <c r="S452" s="453"/>
      <c r="T452" s="453"/>
      <c r="U452" s="453"/>
      <c r="V452" s="453"/>
    </row>
    <row r="453" spans="5:22" s="455" customFormat="1" ht="12.75" hidden="1" customHeight="1">
      <c r="E453" s="452"/>
      <c r="F453" s="452"/>
      <c r="G453" s="452" t="s">
        <v>844</v>
      </c>
      <c r="H453" s="452"/>
      <c r="I453" s="453" t="s">
        <v>844</v>
      </c>
      <c r="J453" s="453"/>
      <c r="K453" s="453"/>
      <c r="L453" s="453"/>
      <c r="M453" s="453"/>
      <c r="N453" s="453"/>
      <c r="O453" s="453"/>
      <c r="P453" s="453"/>
      <c r="Q453" s="453"/>
      <c r="R453" s="453"/>
      <c r="S453" s="453"/>
      <c r="T453" s="453"/>
      <c r="U453" s="453"/>
      <c r="V453" s="453"/>
    </row>
    <row r="454" spans="5:22" s="455" customFormat="1" ht="12.75" hidden="1" customHeight="1">
      <c r="E454" s="452"/>
      <c r="F454" s="452"/>
      <c r="G454" s="452" t="s">
        <v>844</v>
      </c>
      <c r="H454" s="452"/>
      <c r="I454" s="453" t="s">
        <v>844</v>
      </c>
      <c r="J454" s="453"/>
      <c r="K454" s="453"/>
      <c r="L454" s="453"/>
      <c r="M454" s="453"/>
      <c r="N454" s="453"/>
      <c r="O454" s="453"/>
      <c r="P454" s="453"/>
      <c r="Q454" s="453"/>
      <c r="R454" s="453"/>
      <c r="S454" s="453"/>
      <c r="T454" s="453"/>
      <c r="U454" s="453"/>
      <c r="V454" s="453"/>
    </row>
    <row r="455" spans="5:22" s="455" customFormat="1" ht="12.75" hidden="1" customHeight="1">
      <c r="E455" s="452"/>
      <c r="F455" s="452"/>
      <c r="G455" s="452" t="s">
        <v>844</v>
      </c>
      <c r="H455" s="452"/>
      <c r="I455" s="453" t="s">
        <v>844</v>
      </c>
      <c r="J455" s="453"/>
      <c r="K455" s="453"/>
      <c r="L455" s="453"/>
      <c r="M455" s="453"/>
      <c r="N455" s="453"/>
      <c r="O455" s="453"/>
      <c r="P455" s="453"/>
      <c r="Q455" s="453"/>
      <c r="R455" s="453"/>
      <c r="S455" s="453"/>
      <c r="T455" s="453"/>
      <c r="U455" s="453"/>
      <c r="V455" s="453"/>
    </row>
    <row r="456" spans="5:22" s="455" customFormat="1" ht="12.75" hidden="1" customHeight="1">
      <c r="E456" s="452"/>
      <c r="F456" s="452"/>
      <c r="G456" s="452" t="s">
        <v>844</v>
      </c>
      <c r="H456" s="452"/>
      <c r="I456" s="453" t="s">
        <v>844</v>
      </c>
      <c r="J456" s="453"/>
      <c r="K456" s="453"/>
      <c r="L456" s="453"/>
      <c r="M456" s="453"/>
      <c r="N456" s="453"/>
      <c r="O456" s="453"/>
      <c r="P456" s="453"/>
      <c r="Q456" s="453"/>
      <c r="R456" s="453"/>
      <c r="S456" s="453"/>
      <c r="T456" s="453"/>
      <c r="U456" s="453"/>
      <c r="V456" s="453"/>
    </row>
    <row r="457" spans="5:22" s="455" customFormat="1" ht="12.75" hidden="1" customHeight="1">
      <c r="E457" s="452"/>
      <c r="F457" s="452"/>
      <c r="G457" s="452" t="s">
        <v>844</v>
      </c>
      <c r="H457" s="452"/>
      <c r="I457" s="453" t="s">
        <v>844</v>
      </c>
      <c r="J457" s="453"/>
      <c r="K457" s="453"/>
      <c r="L457" s="453"/>
      <c r="M457" s="453"/>
      <c r="N457" s="453"/>
      <c r="O457" s="453"/>
      <c r="P457" s="453"/>
      <c r="Q457" s="453"/>
      <c r="R457" s="453"/>
      <c r="S457" s="453"/>
      <c r="T457" s="453"/>
      <c r="U457" s="453"/>
      <c r="V457" s="453"/>
    </row>
    <row r="458" spans="5:22" s="455" customFormat="1" ht="12.75" hidden="1" customHeight="1">
      <c r="E458" s="452"/>
      <c r="F458" s="452"/>
      <c r="G458" s="452" t="s">
        <v>844</v>
      </c>
      <c r="H458" s="452"/>
      <c r="I458" s="453" t="s">
        <v>844</v>
      </c>
      <c r="J458" s="453"/>
      <c r="K458" s="453"/>
      <c r="L458" s="453"/>
      <c r="M458" s="453"/>
      <c r="N458" s="453"/>
      <c r="O458" s="453"/>
      <c r="P458" s="453"/>
      <c r="Q458" s="453"/>
      <c r="R458" s="453"/>
      <c r="S458" s="453"/>
      <c r="T458" s="453"/>
      <c r="U458" s="453"/>
      <c r="V458" s="453"/>
    </row>
    <row r="459" spans="5:22" s="455" customFormat="1" ht="12.75" hidden="1" customHeight="1">
      <c r="E459" s="452"/>
      <c r="F459" s="452"/>
      <c r="G459" s="452" t="s">
        <v>844</v>
      </c>
      <c r="H459" s="452"/>
      <c r="I459" s="453" t="s">
        <v>844</v>
      </c>
      <c r="J459" s="453"/>
      <c r="K459" s="453"/>
      <c r="L459" s="453"/>
      <c r="M459" s="453"/>
      <c r="N459" s="453"/>
      <c r="O459" s="453"/>
      <c r="P459" s="453"/>
      <c r="Q459" s="453"/>
      <c r="R459" s="453"/>
      <c r="S459" s="453"/>
      <c r="T459" s="453"/>
      <c r="U459" s="453"/>
      <c r="V459" s="453"/>
    </row>
    <row r="460" spans="5:22" s="455" customFormat="1" ht="12.75" hidden="1" customHeight="1">
      <c r="E460" s="452"/>
      <c r="F460" s="452"/>
      <c r="G460" s="452" t="s">
        <v>844</v>
      </c>
      <c r="H460" s="452"/>
      <c r="I460" s="453" t="s">
        <v>844</v>
      </c>
      <c r="J460" s="453"/>
      <c r="K460" s="453"/>
      <c r="L460" s="453"/>
      <c r="M460" s="453"/>
      <c r="N460" s="453"/>
      <c r="O460" s="453"/>
      <c r="P460" s="453"/>
      <c r="Q460" s="453"/>
      <c r="R460" s="453"/>
      <c r="S460" s="453"/>
      <c r="T460" s="453"/>
      <c r="U460" s="453"/>
      <c r="V460" s="453"/>
    </row>
    <row r="461" spans="5:22" s="455" customFormat="1" ht="12.75" hidden="1" customHeight="1">
      <c r="E461" s="452"/>
      <c r="F461" s="452"/>
      <c r="G461" s="452" t="s">
        <v>844</v>
      </c>
      <c r="H461" s="452"/>
      <c r="I461" s="453" t="s">
        <v>844</v>
      </c>
      <c r="J461" s="453"/>
      <c r="K461" s="453"/>
      <c r="L461" s="453"/>
      <c r="M461" s="453"/>
      <c r="N461" s="453"/>
      <c r="O461" s="453"/>
      <c r="P461" s="453"/>
      <c r="Q461" s="453"/>
      <c r="R461" s="453"/>
      <c r="S461" s="453"/>
      <c r="T461" s="453"/>
      <c r="U461" s="453"/>
      <c r="V461" s="453"/>
    </row>
    <row r="462" spans="5:22" s="455" customFormat="1" ht="12.75" hidden="1" customHeight="1">
      <c r="E462" s="452"/>
      <c r="F462" s="452"/>
      <c r="G462" s="452" t="s">
        <v>844</v>
      </c>
      <c r="H462" s="452"/>
      <c r="I462" s="453" t="s">
        <v>844</v>
      </c>
      <c r="J462" s="453"/>
      <c r="K462" s="453"/>
      <c r="L462" s="453"/>
      <c r="M462" s="453"/>
      <c r="N462" s="453"/>
      <c r="O462" s="453"/>
      <c r="P462" s="453"/>
      <c r="Q462" s="453"/>
      <c r="R462" s="453"/>
      <c r="S462" s="453"/>
      <c r="T462" s="453"/>
      <c r="U462" s="453"/>
      <c r="V462" s="453"/>
    </row>
    <row r="463" spans="5:22" s="455" customFormat="1" ht="12.75" hidden="1" customHeight="1">
      <c r="E463" s="452"/>
      <c r="F463" s="452"/>
      <c r="G463" s="452" t="s">
        <v>844</v>
      </c>
      <c r="H463" s="452"/>
      <c r="I463" s="453" t="s">
        <v>844</v>
      </c>
      <c r="J463" s="453"/>
      <c r="K463" s="453"/>
      <c r="L463" s="453"/>
      <c r="M463" s="453"/>
      <c r="N463" s="453"/>
      <c r="O463" s="453"/>
      <c r="P463" s="453"/>
      <c r="Q463" s="453"/>
      <c r="R463" s="453"/>
      <c r="S463" s="453"/>
      <c r="T463" s="453"/>
      <c r="U463" s="453"/>
      <c r="V463" s="453"/>
    </row>
    <row r="464" spans="5:22" s="455" customFormat="1" ht="12.75" hidden="1" customHeight="1">
      <c r="E464" s="452"/>
      <c r="F464" s="452"/>
      <c r="G464" s="452" t="s">
        <v>844</v>
      </c>
      <c r="H464" s="452"/>
      <c r="I464" s="453" t="s">
        <v>844</v>
      </c>
      <c r="J464" s="453"/>
      <c r="K464" s="453"/>
      <c r="L464" s="453"/>
      <c r="M464" s="453"/>
      <c r="N464" s="453"/>
      <c r="O464" s="453"/>
      <c r="P464" s="453"/>
      <c r="Q464" s="453"/>
      <c r="R464" s="453"/>
      <c r="S464" s="453"/>
      <c r="T464" s="453"/>
      <c r="U464" s="453"/>
      <c r="V464" s="453"/>
    </row>
    <row r="465" spans="5:22" s="455" customFormat="1" ht="12.75" hidden="1" customHeight="1">
      <c r="E465" s="452"/>
      <c r="F465" s="452"/>
      <c r="G465" s="452" t="s">
        <v>844</v>
      </c>
      <c r="H465" s="452"/>
      <c r="I465" s="453" t="s">
        <v>844</v>
      </c>
      <c r="J465" s="453"/>
      <c r="K465" s="453"/>
      <c r="L465" s="453"/>
      <c r="M465" s="453"/>
      <c r="N465" s="453"/>
      <c r="O465" s="453"/>
      <c r="P465" s="453"/>
      <c r="Q465" s="453"/>
      <c r="R465" s="453"/>
      <c r="S465" s="453"/>
      <c r="T465" s="453"/>
      <c r="U465" s="453"/>
      <c r="V465" s="453"/>
    </row>
    <row r="466" spans="5:22" s="455" customFormat="1" ht="12.75" hidden="1" customHeight="1">
      <c r="E466" s="452"/>
      <c r="F466" s="452"/>
      <c r="G466" s="452" t="s">
        <v>844</v>
      </c>
      <c r="H466" s="452"/>
      <c r="I466" s="453" t="s">
        <v>844</v>
      </c>
      <c r="J466" s="453"/>
      <c r="K466" s="453"/>
      <c r="L466" s="453"/>
      <c r="M466" s="453"/>
      <c r="N466" s="453"/>
      <c r="O466" s="453"/>
      <c r="P466" s="453"/>
      <c r="Q466" s="453"/>
      <c r="R466" s="453"/>
      <c r="S466" s="453"/>
      <c r="T466" s="453"/>
      <c r="U466" s="453"/>
      <c r="V466" s="453"/>
    </row>
    <row r="467" spans="5:22" s="455" customFormat="1" ht="12.75" hidden="1" customHeight="1">
      <c r="E467" s="452"/>
      <c r="F467" s="452"/>
      <c r="G467" s="452" t="s">
        <v>844</v>
      </c>
      <c r="H467" s="452"/>
      <c r="I467" s="453" t="s">
        <v>844</v>
      </c>
      <c r="J467" s="453"/>
      <c r="K467" s="453"/>
      <c r="L467" s="453"/>
      <c r="M467" s="453"/>
      <c r="N467" s="453"/>
      <c r="O467" s="453"/>
      <c r="P467" s="453"/>
      <c r="Q467" s="453"/>
      <c r="R467" s="453"/>
      <c r="S467" s="453"/>
      <c r="T467" s="453"/>
      <c r="U467" s="453"/>
      <c r="V467" s="453"/>
    </row>
    <row r="468" spans="5:22" s="455" customFormat="1" ht="12.75" hidden="1" customHeight="1">
      <c r="E468" s="452"/>
      <c r="F468" s="452"/>
      <c r="G468" s="452" t="s">
        <v>844</v>
      </c>
      <c r="H468" s="452"/>
      <c r="I468" s="453" t="s">
        <v>844</v>
      </c>
      <c r="J468" s="453"/>
      <c r="K468" s="453"/>
      <c r="L468" s="453"/>
      <c r="M468" s="453"/>
      <c r="N468" s="453"/>
      <c r="O468" s="453"/>
      <c r="P468" s="453"/>
      <c r="Q468" s="453"/>
      <c r="R468" s="453"/>
      <c r="S468" s="453"/>
      <c r="T468" s="453"/>
      <c r="U468" s="453"/>
      <c r="V468" s="453"/>
    </row>
    <row r="469" spans="5:22" s="455" customFormat="1" ht="12.75" hidden="1" customHeight="1">
      <c r="E469" s="452"/>
      <c r="F469" s="452"/>
      <c r="G469" s="452" t="s">
        <v>844</v>
      </c>
      <c r="H469" s="452"/>
      <c r="I469" s="453" t="s">
        <v>844</v>
      </c>
      <c r="J469" s="453"/>
      <c r="K469" s="453"/>
      <c r="L469" s="453"/>
      <c r="M469" s="453"/>
      <c r="N469" s="453"/>
      <c r="O469" s="453"/>
      <c r="P469" s="453"/>
      <c r="Q469" s="453"/>
      <c r="R469" s="453"/>
      <c r="S469" s="453"/>
      <c r="T469" s="453"/>
      <c r="U469" s="453"/>
      <c r="V469" s="453"/>
    </row>
    <row r="470" spans="5:22" s="455" customFormat="1" ht="12.75" hidden="1" customHeight="1">
      <c r="E470" s="452"/>
      <c r="F470" s="452"/>
      <c r="G470" s="452" t="s">
        <v>844</v>
      </c>
      <c r="H470" s="452"/>
      <c r="I470" s="453" t="s">
        <v>844</v>
      </c>
      <c r="J470" s="453"/>
      <c r="K470" s="453"/>
      <c r="L470" s="453"/>
      <c r="M470" s="453"/>
      <c r="N470" s="453"/>
      <c r="O470" s="453"/>
      <c r="P470" s="453"/>
      <c r="Q470" s="453"/>
      <c r="R470" s="453"/>
      <c r="S470" s="453"/>
      <c r="T470" s="453"/>
      <c r="U470" s="453"/>
      <c r="V470" s="453"/>
    </row>
    <row r="471" spans="5:22" s="455" customFormat="1" ht="12.75" hidden="1" customHeight="1">
      <c r="E471" s="452"/>
      <c r="F471" s="452"/>
      <c r="G471" s="452" t="s">
        <v>844</v>
      </c>
      <c r="H471" s="452"/>
      <c r="I471" s="453" t="s">
        <v>844</v>
      </c>
      <c r="J471" s="453"/>
      <c r="K471" s="453"/>
      <c r="L471" s="453"/>
      <c r="M471" s="453"/>
      <c r="N471" s="453"/>
      <c r="O471" s="453"/>
      <c r="P471" s="453"/>
      <c r="Q471" s="453"/>
      <c r="R471" s="453"/>
      <c r="S471" s="453"/>
      <c r="T471" s="453"/>
      <c r="U471" s="453"/>
      <c r="V471" s="453"/>
    </row>
    <row r="472" spans="5:22" s="455" customFormat="1" ht="12.75" hidden="1" customHeight="1">
      <c r="E472" s="452"/>
      <c r="F472" s="452"/>
      <c r="G472" s="452" t="s">
        <v>844</v>
      </c>
      <c r="H472" s="452"/>
      <c r="I472" s="453" t="s">
        <v>844</v>
      </c>
      <c r="J472" s="453"/>
      <c r="K472" s="453"/>
      <c r="L472" s="453"/>
      <c r="M472" s="453"/>
      <c r="N472" s="453"/>
      <c r="O472" s="453"/>
      <c r="P472" s="453"/>
      <c r="Q472" s="453"/>
      <c r="R472" s="453"/>
      <c r="S472" s="453"/>
      <c r="T472" s="453"/>
      <c r="U472" s="453"/>
      <c r="V472" s="453"/>
    </row>
    <row r="473" spans="5:22" s="455" customFormat="1" ht="12.75" hidden="1" customHeight="1">
      <c r="E473" s="452"/>
      <c r="F473" s="452"/>
      <c r="G473" s="452" t="s">
        <v>844</v>
      </c>
      <c r="H473" s="452"/>
      <c r="I473" s="453" t="s">
        <v>844</v>
      </c>
      <c r="J473" s="453"/>
      <c r="K473" s="453"/>
      <c r="L473" s="453"/>
      <c r="M473" s="453"/>
      <c r="N473" s="453"/>
      <c r="O473" s="453"/>
      <c r="P473" s="453"/>
      <c r="Q473" s="453"/>
      <c r="R473" s="453"/>
      <c r="S473" s="453"/>
      <c r="T473" s="453"/>
      <c r="U473" s="453"/>
      <c r="V473" s="453"/>
    </row>
    <row r="474" spans="5:22" s="455" customFormat="1" ht="12.75" hidden="1" customHeight="1">
      <c r="E474" s="452"/>
      <c r="F474" s="452"/>
      <c r="G474" s="452" t="s">
        <v>844</v>
      </c>
      <c r="H474" s="452"/>
      <c r="I474" s="453" t="s">
        <v>844</v>
      </c>
      <c r="J474" s="453"/>
      <c r="K474" s="453"/>
      <c r="L474" s="453"/>
      <c r="M474" s="453"/>
      <c r="N474" s="453"/>
      <c r="O474" s="453"/>
      <c r="P474" s="453"/>
      <c r="Q474" s="453"/>
      <c r="R474" s="453"/>
      <c r="S474" s="453"/>
      <c r="T474" s="453"/>
      <c r="U474" s="453"/>
      <c r="V474" s="453"/>
    </row>
    <row r="475" spans="5:22" s="455" customFormat="1" ht="12.75" hidden="1" customHeight="1">
      <c r="E475" s="452"/>
      <c r="F475" s="452"/>
      <c r="G475" s="452" t="s">
        <v>844</v>
      </c>
      <c r="H475" s="452"/>
      <c r="I475" s="453" t="s">
        <v>844</v>
      </c>
      <c r="J475" s="453"/>
      <c r="K475" s="453"/>
      <c r="L475" s="453"/>
      <c r="M475" s="453"/>
      <c r="N475" s="453"/>
      <c r="O475" s="453"/>
      <c r="P475" s="453"/>
      <c r="Q475" s="453"/>
      <c r="R475" s="453"/>
      <c r="S475" s="453"/>
      <c r="T475" s="453"/>
      <c r="U475" s="453"/>
      <c r="V475" s="453"/>
    </row>
    <row r="476" spans="5:22" s="455" customFormat="1" ht="12.75" hidden="1" customHeight="1">
      <c r="E476" s="452"/>
      <c r="F476" s="452"/>
      <c r="G476" s="452" t="s">
        <v>844</v>
      </c>
      <c r="H476" s="452"/>
      <c r="I476" s="453" t="s">
        <v>844</v>
      </c>
      <c r="J476" s="453"/>
      <c r="K476" s="453"/>
      <c r="L476" s="453"/>
      <c r="M476" s="453"/>
      <c r="N476" s="453"/>
      <c r="O476" s="453"/>
      <c r="P476" s="453"/>
      <c r="Q476" s="453"/>
      <c r="R476" s="453"/>
      <c r="S476" s="453"/>
      <c r="T476" s="453"/>
      <c r="U476" s="453"/>
      <c r="V476" s="453"/>
    </row>
    <row r="477" spans="5:22" s="455" customFormat="1" ht="12.75" hidden="1" customHeight="1">
      <c r="E477" s="452"/>
      <c r="F477" s="452"/>
      <c r="G477" s="452" t="s">
        <v>844</v>
      </c>
      <c r="H477" s="452"/>
      <c r="I477" s="453" t="s">
        <v>844</v>
      </c>
      <c r="J477" s="453"/>
      <c r="K477" s="453"/>
      <c r="L477" s="453"/>
      <c r="M477" s="453"/>
      <c r="N477" s="453"/>
      <c r="O477" s="453"/>
      <c r="P477" s="453"/>
      <c r="Q477" s="453"/>
      <c r="R477" s="453"/>
      <c r="S477" s="453"/>
      <c r="T477" s="453"/>
      <c r="U477" s="453"/>
      <c r="V477" s="453"/>
    </row>
    <row r="478" spans="5:22" s="455" customFormat="1" ht="12.75" hidden="1" customHeight="1">
      <c r="E478" s="452"/>
      <c r="F478" s="452"/>
      <c r="G478" s="452" t="s">
        <v>844</v>
      </c>
      <c r="H478" s="452"/>
      <c r="I478" s="453" t="s">
        <v>844</v>
      </c>
      <c r="J478" s="453"/>
      <c r="K478" s="453"/>
      <c r="L478" s="453"/>
      <c r="M478" s="453"/>
      <c r="N478" s="453"/>
      <c r="O478" s="453"/>
      <c r="P478" s="453"/>
      <c r="Q478" s="453"/>
      <c r="R478" s="453"/>
      <c r="S478" s="453"/>
      <c r="T478" s="453"/>
      <c r="U478" s="453"/>
      <c r="V478" s="453"/>
    </row>
    <row r="479" spans="5:22" s="455" customFormat="1" ht="12.75" hidden="1" customHeight="1">
      <c r="E479" s="452"/>
      <c r="F479" s="452"/>
      <c r="G479" s="452" t="s">
        <v>844</v>
      </c>
      <c r="H479" s="452"/>
      <c r="I479" s="453" t="s">
        <v>844</v>
      </c>
      <c r="J479" s="453"/>
      <c r="K479" s="453"/>
      <c r="L479" s="453"/>
      <c r="M479" s="453"/>
      <c r="N479" s="453"/>
      <c r="O479" s="453"/>
      <c r="P479" s="453"/>
      <c r="Q479" s="453"/>
      <c r="R479" s="453"/>
      <c r="S479" s="453"/>
      <c r="T479" s="453"/>
      <c r="U479" s="453"/>
      <c r="V479" s="453"/>
    </row>
    <row r="480" spans="5:22" s="455" customFormat="1" ht="12.75" hidden="1" customHeight="1">
      <c r="E480" s="452"/>
      <c r="F480" s="452"/>
      <c r="G480" s="452" t="s">
        <v>844</v>
      </c>
      <c r="H480" s="452"/>
      <c r="I480" s="453" t="s">
        <v>844</v>
      </c>
      <c r="J480" s="453"/>
      <c r="K480" s="453"/>
      <c r="L480" s="453"/>
      <c r="M480" s="453"/>
      <c r="N480" s="453"/>
      <c r="O480" s="453"/>
      <c r="P480" s="453"/>
      <c r="Q480" s="453"/>
      <c r="R480" s="453"/>
      <c r="S480" s="453"/>
      <c r="T480" s="453"/>
      <c r="U480" s="453"/>
      <c r="V480" s="453"/>
    </row>
    <row r="481" spans="5:22" s="455" customFormat="1" ht="12.75" hidden="1" customHeight="1">
      <c r="E481" s="452"/>
      <c r="F481" s="452"/>
      <c r="G481" s="452" t="s">
        <v>844</v>
      </c>
      <c r="H481" s="452"/>
      <c r="I481" s="453" t="s">
        <v>844</v>
      </c>
      <c r="J481" s="453"/>
      <c r="K481" s="453"/>
      <c r="L481" s="453"/>
      <c r="M481" s="453"/>
      <c r="N481" s="453"/>
      <c r="O481" s="453"/>
      <c r="P481" s="453"/>
      <c r="Q481" s="453"/>
      <c r="R481" s="453"/>
      <c r="S481" s="453"/>
      <c r="T481" s="453"/>
      <c r="U481" s="453"/>
      <c r="V481" s="453"/>
    </row>
    <row r="482" spans="5:22" s="455" customFormat="1" ht="12.75" hidden="1" customHeight="1">
      <c r="E482" s="452"/>
      <c r="F482" s="452"/>
      <c r="G482" s="452" t="s">
        <v>844</v>
      </c>
      <c r="H482" s="452"/>
      <c r="I482" s="453" t="s">
        <v>844</v>
      </c>
      <c r="J482" s="453"/>
      <c r="K482" s="453"/>
      <c r="L482" s="453"/>
      <c r="M482" s="453"/>
      <c r="N482" s="453"/>
      <c r="O482" s="453"/>
      <c r="P482" s="453"/>
      <c r="Q482" s="453"/>
      <c r="R482" s="453"/>
      <c r="S482" s="453"/>
      <c r="T482" s="453"/>
      <c r="U482" s="453"/>
      <c r="V482" s="453"/>
    </row>
    <row r="483" spans="5:22" s="455" customFormat="1" ht="12.75" hidden="1" customHeight="1">
      <c r="E483" s="452"/>
      <c r="F483" s="452"/>
      <c r="G483" s="452" t="s">
        <v>844</v>
      </c>
      <c r="H483" s="452"/>
      <c r="I483" s="453" t="s">
        <v>844</v>
      </c>
      <c r="J483" s="453"/>
      <c r="K483" s="453"/>
      <c r="L483" s="453"/>
      <c r="M483" s="453"/>
      <c r="N483" s="453"/>
      <c r="O483" s="453"/>
      <c r="P483" s="453"/>
      <c r="Q483" s="453"/>
      <c r="R483" s="453"/>
      <c r="S483" s="453"/>
      <c r="T483" s="453"/>
      <c r="U483" s="453"/>
      <c r="V483" s="453"/>
    </row>
    <row r="484" spans="5:22" s="455" customFormat="1" ht="12.75" hidden="1" customHeight="1">
      <c r="E484" s="452"/>
      <c r="F484" s="452"/>
      <c r="G484" s="452" t="s">
        <v>844</v>
      </c>
      <c r="H484" s="452"/>
      <c r="I484" s="453" t="s">
        <v>844</v>
      </c>
      <c r="J484" s="453"/>
      <c r="K484" s="453"/>
      <c r="L484" s="453"/>
      <c r="M484" s="453"/>
      <c r="N484" s="453"/>
      <c r="O484" s="453"/>
      <c r="P484" s="453"/>
      <c r="Q484" s="453"/>
      <c r="R484" s="453"/>
      <c r="S484" s="453"/>
      <c r="T484" s="453"/>
      <c r="U484" s="453"/>
      <c r="V484" s="453"/>
    </row>
    <row r="485" spans="5:22" s="455" customFormat="1" ht="12.75" hidden="1" customHeight="1">
      <c r="E485" s="452"/>
      <c r="F485" s="452"/>
      <c r="G485" s="452" t="s">
        <v>844</v>
      </c>
      <c r="H485" s="452"/>
      <c r="I485" s="453" t="s">
        <v>844</v>
      </c>
      <c r="J485" s="453"/>
      <c r="K485" s="453"/>
      <c r="L485" s="453"/>
      <c r="M485" s="453"/>
      <c r="N485" s="453"/>
      <c r="O485" s="453"/>
      <c r="P485" s="453"/>
      <c r="Q485" s="453"/>
      <c r="R485" s="453"/>
      <c r="S485" s="453"/>
      <c r="T485" s="453"/>
      <c r="U485" s="453"/>
      <c r="V485" s="453"/>
    </row>
    <row r="486" spans="5:22" s="455" customFormat="1" ht="12.75" hidden="1" customHeight="1">
      <c r="E486" s="452"/>
      <c r="F486" s="452"/>
      <c r="G486" s="452" t="s">
        <v>844</v>
      </c>
      <c r="H486" s="452"/>
      <c r="I486" s="453" t="s">
        <v>844</v>
      </c>
      <c r="J486" s="453"/>
      <c r="K486" s="453"/>
      <c r="L486" s="453"/>
      <c r="M486" s="453"/>
      <c r="N486" s="453"/>
      <c r="O486" s="453"/>
      <c r="P486" s="453"/>
      <c r="Q486" s="453"/>
      <c r="R486" s="453"/>
      <c r="S486" s="453"/>
      <c r="T486" s="453"/>
      <c r="U486" s="453"/>
      <c r="V486" s="453"/>
    </row>
    <row r="487" spans="5:22" s="455" customFormat="1" ht="12.75" hidden="1" customHeight="1">
      <c r="E487" s="452"/>
      <c r="F487" s="452"/>
      <c r="G487" s="452" t="s">
        <v>844</v>
      </c>
      <c r="H487" s="452"/>
      <c r="I487" s="453" t="s">
        <v>844</v>
      </c>
      <c r="J487" s="453"/>
      <c r="K487" s="453"/>
      <c r="L487" s="453"/>
      <c r="M487" s="453"/>
      <c r="N487" s="453"/>
      <c r="O487" s="453"/>
      <c r="P487" s="453"/>
      <c r="Q487" s="453"/>
      <c r="R487" s="453"/>
      <c r="S487" s="453"/>
      <c r="T487" s="453"/>
      <c r="U487" s="453"/>
      <c r="V487" s="453"/>
    </row>
    <row r="488" spans="5:22" s="455" customFormat="1" ht="12.75" hidden="1" customHeight="1">
      <c r="E488" s="452"/>
      <c r="F488" s="452"/>
      <c r="G488" s="452" t="s">
        <v>844</v>
      </c>
      <c r="H488" s="452"/>
      <c r="I488" s="453" t="s">
        <v>844</v>
      </c>
      <c r="J488" s="453"/>
      <c r="K488" s="453"/>
      <c r="L488" s="453"/>
      <c r="M488" s="453"/>
      <c r="N488" s="453"/>
      <c r="O488" s="453"/>
      <c r="P488" s="453"/>
      <c r="Q488" s="453"/>
      <c r="R488" s="453"/>
      <c r="S488" s="453"/>
      <c r="T488" s="453"/>
      <c r="U488" s="453"/>
      <c r="V488" s="453"/>
    </row>
    <row r="489" spans="5:22" s="455" customFormat="1" ht="12.75" hidden="1" customHeight="1">
      <c r="E489" s="452"/>
      <c r="F489" s="452"/>
      <c r="G489" s="452" t="s">
        <v>844</v>
      </c>
      <c r="H489" s="452"/>
      <c r="I489" s="453" t="s">
        <v>844</v>
      </c>
      <c r="J489" s="453"/>
      <c r="K489" s="453"/>
      <c r="L489" s="453"/>
      <c r="M489" s="453"/>
      <c r="N489" s="453"/>
      <c r="O489" s="453"/>
      <c r="P489" s="453"/>
      <c r="Q489" s="453"/>
      <c r="R489" s="453"/>
      <c r="S489" s="453"/>
      <c r="T489" s="453"/>
      <c r="U489" s="453"/>
      <c r="V489" s="453"/>
    </row>
    <row r="490" spans="5:22" s="455" customFormat="1" ht="12.75" hidden="1" customHeight="1">
      <c r="E490" s="452"/>
      <c r="F490" s="452"/>
      <c r="G490" s="452" t="s">
        <v>844</v>
      </c>
      <c r="H490" s="452"/>
      <c r="I490" s="453" t="s">
        <v>844</v>
      </c>
      <c r="J490" s="453"/>
      <c r="K490" s="453"/>
      <c r="L490" s="453"/>
      <c r="M490" s="453"/>
      <c r="N490" s="453"/>
      <c r="O490" s="453"/>
      <c r="P490" s="453"/>
      <c r="Q490" s="453"/>
      <c r="R490" s="453"/>
      <c r="S490" s="453"/>
      <c r="T490" s="453"/>
      <c r="U490" s="453"/>
      <c r="V490" s="453"/>
    </row>
    <row r="491" spans="5:22" s="455" customFormat="1" ht="12.75" hidden="1" customHeight="1">
      <c r="E491" s="452"/>
      <c r="F491" s="452"/>
      <c r="G491" s="452" t="s">
        <v>844</v>
      </c>
      <c r="H491" s="452"/>
      <c r="I491" s="453" t="s">
        <v>844</v>
      </c>
      <c r="J491" s="453"/>
      <c r="K491" s="453"/>
      <c r="L491" s="453"/>
      <c r="M491" s="453"/>
      <c r="N491" s="453"/>
      <c r="O491" s="453"/>
      <c r="P491" s="453"/>
      <c r="Q491" s="453"/>
      <c r="R491" s="453"/>
      <c r="S491" s="453"/>
      <c r="T491" s="453"/>
      <c r="U491" s="453"/>
      <c r="V491" s="453"/>
    </row>
    <row r="492" spans="5:22" s="455" customFormat="1" ht="12.75" hidden="1" customHeight="1">
      <c r="E492" s="452"/>
      <c r="F492" s="452"/>
      <c r="G492" s="452" t="s">
        <v>844</v>
      </c>
      <c r="H492" s="452"/>
      <c r="I492" s="453" t="s">
        <v>844</v>
      </c>
      <c r="J492" s="453"/>
      <c r="K492" s="453"/>
      <c r="L492" s="453"/>
      <c r="M492" s="453"/>
      <c r="N492" s="453"/>
      <c r="O492" s="453"/>
      <c r="P492" s="453"/>
      <c r="Q492" s="453"/>
      <c r="R492" s="453"/>
      <c r="S492" s="453"/>
      <c r="T492" s="453"/>
      <c r="U492" s="453"/>
      <c r="V492" s="453"/>
    </row>
    <row r="493" spans="5:22" s="455" customFormat="1" ht="12.75" hidden="1" customHeight="1">
      <c r="E493" s="452"/>
      <c r="F493" s="452"/>
      <c r="G493" s="452" t="s">
        <v>844</v>
      </c>
      <c r="H493" s="452"/>
      <c r="I493" s="453" t="s">
        <v>844</v>
      </c>
      <c r="J493" s="453"/>
      <c r="K493" s="453"/>
      <c r="L493" s="453"/>
      <c r="M493" s="453"/>
      <c r="N493" s="453"/>
      <c r="O493" s="453"/>
      <c r="P493" s="453"/>
      <c r="Q493" s="453"/>
      <c r="R493" s="453"/>
      <c r="S493" s="453"/>
      <c r="T493" s="453"/>
      <c r="U493" s="453"/>
      <c r="V493" s="453"/>
    </row>
    <row r="494" spans="5:22" s="455" customFormat="1" ht="12.75" hidden="1" customHeight="1">
      <c r="E494" s="452"/>
      <c r="F494" s="452"/>
      <c r="G494" s="452" t="s">
        <v>844</v>
      </c>
      <c r="H494" s="452"/>
      <c r="I494" s="453" t="s">
        <v>844</v>
      </c>
      <c r="J494" s="453"/>
      <c r="K494" s="453"/>
      <c r="L494" s="453"/>
      <c r="M494" s="453"/>
      <c r="N494" s="453"/>
      <c r="O494" s="453"/>
      <c r="P494" s="453"/>
      <c r="Q494" s="453"/>
      <c r="R494" s="453"/>
      <c r="S494" s="453"/>
      <c r="T494" s="453"/>
      <c r="U494" s="453"/>
      <c r="V494" s="453"/>
    </row>
    <row r="495" spans="5:22" s="455" customFormat="1" ht="12.75" hidden="1" customHeight="1">
      <c r="E495" s="452"/>
      <c r="F495" s="452"/>
      <c r="G495" s="452" t="s">
        <v>844</v>
      </c>
      <c r="H495" s="452"/>
      <c r="I495" s="453" t="s">
        <v>844</v>
      </c>
      <c r="J495" s="453"/>
      <c r="K495" s="453"/>
      <c r="L495" s="453"/>
      <c r="M495" s="453"/>
      <c r="N495" s="453"/>
      <c r="O495" s="453"/>
      <c r="P495" s="453"/>
      <c r="Q495" s="453"/>
      <c r="R495" s="453"/>
      <c r="S495" s="453"/>
      <c r="T495" s="453"/>
      <c r="U495" s="453"/>
      <c r="V495" s="453"/>
    </row>
    <row r="496" spans="5:22" s="455" customFormat="1" ht="12.75" hidden="1" customHeight="1">
      <c r="E496" s="452"/>
      <c r="F496" s="452"/>
      <c r="G496" s="452" t="s">
        <v>844</v>
      </c>
      <c r="H496" s="452"/>
      <c r="I496" s="453" t="s">
        <v>844</v>
      </c>
      <c r="J496" s="453"/>
      <c r="K496" s="453"/>
      <c r="L496" s="453"/>
      <c r="M496" s="453"/>
      <c r="N496" s="453"/>
      <c r="O496" s="453"/>
      <c r="P496" s="453"/>
      <c r="Q496" s="453"/>
      <c r="R496" s="453"/>
      <c r="S496" s="453"/>
      <c r="T496" s="453"/>
      <c r="U496" s="453"/>
      <c r="V496" s="453"/>
    </row>
    <row r="497" spans="5:22" s="455" customFormat="1" ht="12.75" hidden="1" customHeight="1">
      <c r="E497" s="452"/>
      <c r="F497" s="452"/>
      <c r="G497" s="452" t="s">
        <v>844</v>
      </c>
      <c r="H497" s="452"/>
      <c r="I497" s="453" t="s">
        <v>844</v>
      </c>
      <c r="J497" s="453"/>
      <c r="K497" s="453"/>
      <c r="L497" s="453"/>
      <c r="M497" s="453"/>
      <c r="N497" s="453"/>
      <c r="O497" s="453"/>
      <c r="P497" s="453"/>
      <c r="Q497" s="453"/>
      <c r="R497" s="453"/>
      <c r="S497" s="453"/>
      <c r="T497" s="453"/>
      <c r="U497" s="453"/>
      <c r="V497" s="453"/>
    </row>
    <row r="498" spans="5:22" s="455" customFormat="1" ht="12.75" hidden="1" customHeight="1">
      <c r="E498" s="452"/>
      <c r="F498" s="452"/>
      <c r="G498" s="452" t="s">
        <v>844</v>
      </c>
      <c r="H498" s="452"/>
      <c r="I498" s="453" t="s">
        <v>844</v>
      </c>
      <c r="J498" s="453"/>
      <c r="K498" s="453"/>
      <c r="L498" s="453"/>
      <c r="M498" s="453"/>
      <c r="N498" s="453"/>
      <c r="O498" s="453"/>
      <c r="P498" s="453"/>
      <c r="Q498" s="453"/>
      <c r="R498" s="453"/>
      <c r="S498" s="453"/>
      <c r="T498" s="453"/>
      <c r="U498" s="453"/>
      <c r="V498" s="453"/>
    </row>
    <row r="499" spans="5:22" s="455" customFormat="1" ht="12.75" hidden="1" customHeight="1">
      <c r="E499" s="452"/>
      <c r="F499" s="452"/>
      <c r="G499" s="452" t="s">
        <v>844</v>
      </c>
      <c r="H499" s="452"/>
      <c r="I499" s="453" t="s">
        <v>844</v>
      </c>
      <c r="J499" s="453"/>
      <c r="K499" s="453"/>
      <c r="L499" s="453"/>
      <c r="M499" s="453"/>
      <c r="N499" s="453"/>
      <c r="O499" s="453"/>
      <c r="P499" s="453"/>
      <c r="Q499" s="453"/>
      <c r="R499" s="453"/>
      <c r="S499" s="453"/>
      <c r="T499" s="453"/>
      <c r="U499" s="453"/>
      <c r="V499" s="453"/>
    </row>
    <row r="500" spans="5:22" s="455" customFormat="1" ht="12.75" hidden="1" customHeight="1">
      <c r="E500" s="452"/>
      <c r="F500" s="452"/>
      <c r="G500" s="452" t="s">
        <v>844</v>
      </c>
      <c r="H500" s="452"/>
      <c r="I500" s="453" t="s">
        <v>844</v>
      </c>
      <c r="J500" s="453"/>
      <c r="K500" s="453"/>
      <c r="L500" s="453"/>
      <c r="M500" s="453"/>
      <c r="N500" s="453"/>
      <c r="O500" s="453"/>
      <c r="P500" s="453"/>
      <c r="Q500" s="453"/>
      <c r="R500" s="453"/>
      <c r="S500" s="453"/>
      <c r="T500" s="453"/>
      <c r="U500" s="453"/>
      <c r="V500" s="453"/>
    </row>
    <row r="501" spans="5:22" s="455" customFormat="1" ht="12.75" hidden="1" customHeight="1">
      <c r="E501" s="452"/>
      <c r="F501" s="452"/>
      <c r="G501" s="452" t="s">
        <v>844</v>
      </c>
      <c r="H501" s="452"/>
      <c r="I501" s="453" t="s">
        <v>844</v>
      </c>
      <c r="J501" s="453"/>
      <c r="K501" s="453"/>
      <c r="L501" s="453"/>
      <c r="M501" s="453"/>
      <c r="N501" s="453"/>
      <c r="O501" s="453"/>
      <c r="P501" s="453"/>
      <c r="Q501" s="453"/>
      <c r="R501" s="453"/>
      <c r="S501" s="453"/>
      <c r="T501" s="453"/>
      <c r="U501" s="453"/>
      <c r="V501" s="453"/>
    </row>
    <row r="502" spans="5:22" s="455" customFormat="1" ht="12.75" hidden="1" customHeight="1">
      <c r="E502" s="452"/>
      <c r="F502" s="452"/>
      <c r="G502" s="452" t="s">
        <v>844</v>
      </c>
      <c r="H502" s="452"/>
      <c r="I502" s="453" t="s">
        <v>844</v>
      </c>
      <c r="J502" s="453"/>
      <c r="K502" s="453"/>
      <c r="L502" s="453"/>
      <c r="M502" s="453"/>
      <c r="N502" s="453"/>
      <c r="O502" s="453"/>
      <c r="P502" s="453"/>
      <c r="Q502" s="453"/>
      <c r="R502" s="453"/>
      <c r="S502" s="453"/>
      <c r="T502" s="453"/>
      <c r="U502" s="453"/>
      <c r="V502" s="453"/>
    </row>
    <row r="503" spans="5:22" s="455" customFormat="1" ht="12.75" hidden="1" customHeight="1">
      <c r="E503" s="452"/>
      <c r="F503" s="452"/>
      <c r="G503" s="452" t="s">
        <v>844</v>
      </c>
      <c r="H503" s="452"/>
      <c r="I503" s="453" t="s">
        <v>844</v>
      </c>
      <c r="J503" s="453"/>
      <c r="K503" s="453"/>
      <c r="L503" s="453"/>
      <c r="M503" s="453"/>
      <c r="N503" s="453"/>
      <c r="O503" s="453"/>
      <c r="P503" s="453"/>
      <c r="Q503" s="453"/>
      <c r="R503" s="453"/>
      <c r="S503" s="453"/>
      <c r="T503" s="453"/>
      <c r="U503" s="453"/>
      <c r="V503" s="453"/>
    </row>
    <row r="504" spans="5:22" s="455" customFormat="1" ht="12.75" hidden="1" customHeight="1">
      <c r="E504" s="452"/>
      <c r="F504" s="452"/>
      <c r="G504" s="452" t="s">
        <v>844</v>
      </c>
      <c r="H504" s="452"/>
      <c r="I504" s="453" t="s">
        <v>844</v>
      </c>
      <c r="J504" s="453"/>
      <c r="K504" s="453"/>
      <c r="L504" s="453"/>
      <c r="M504" s="453"/>
      <c r="N504" s="453"/>
      <c r="O504" s="453"/>
      <c r="P504" s="453"/>
      <c r="Q504" s="453"/>
      <c r="R504" s="453"/>
      <c r="S504" s="453"/>
      <c r="T504" s="453"/>
      <c r="U504" s="453"/>
      <c r="V504" s="453"/>
    </row>
    <row r="505" spans="5:22" s="455" customFormat="1" ht="12.75" hidden="1" customHeight="1">
      <c r="E505" s="452"/>
      <c r="F505" s="452"/>
      <c r="G505" s="452" t="s">
        <v>844</v>
      </c>
      <c r="H505" s="452"/>
      <c r="I505" s="453" t="s">
        <v>844</v>
      </c>
      <c r="J505" s="453"/>
      <c r="K505" s="453"/>
      <c r="L505" s="453"/>
      <c r="M505" s="453"/>
      <c r="N505" s="453"/>
      <c r="O505" s="453"/>
      <c r="P505" s="453"/>
      <c r="Q505" s="453"/>
      <c r="R505" s="453"/>
      <c r="S505" s="453"/>
      <c r="T505" s="453"/>
      <c r="U505" s="453"/>
      <c r="V505" s="453"/>
    </row>
    <row r="506" spans="5:22" s="455" customFormat="1" ht="12.75" hidden="1" customHeight="1">
      <c r="E506" s="452"/>
      <c r="F506" s="452"/>
      <c r="G506" s="452" t="s">
        <v>844</v>
      </c>
      <c r="H506" s="452"/>
      <c r="I506" s="453" t="s">
        <v>844</v>
      </c>
      <c r="J506" s="453"/>
      <c r="K506" s="453"/>
      <c r="L506" s="453"/>
      <c r="M506" s="453"/>
      <c r="N506" s="453"/>
      <c r="O506" s="453"/>
      <c r="P506" s="453"/>
      <c r="Q506" s="453"/>
      <c r="R506" s="453"/>
      <c r="S506" s="453"/>
      <c r="T506" s="453"/>
      <c r="U506" s="453"/>
      <c r="V506" s="453"/>
    </row>
    <row r="507" spans="5:22" s="455" customFormat="1" ht="12.75" hidden="1" customHeight="1">
      <c r="E507" s="452"/>
      <c r="F507" s="452"/>
      <c r="G507" s="452" t="s">
        <v>844</v>
      </c>
      <c r="H507" s="452"/>
      <c r="I507" s="453" t="s">
        <v>844</v>
      </c>
      <c r="J507" s="453"/>
      <c r="K507" s="453"/>
      <c r="L507" s="453"/>
      <c r="M507" s="453"/>
      <c r="N507" s="453"/>
      <c r="O507" s="453"/>
      <c r="P507" s="453"/>
      <c r="Q507" s="453"/>
      <c r="R507" s="453"/>
      <c r="S507" s="453"/>
      <c r="T507" s="453"/>
      <c r="U507" s="453"/>
      <c r="V507" s="453"/>
    </row>
    <row r="508" spans="5:22" s="455" customFormat="1" ht="12.75" hidden="1" customHeight="1">
      <c r="E508" s="452"/>
      <c r="F508" s="452"/>
      <c r="G508" s="452" t="s">
        <v>844</v>
      </c>
      <c r="H508" s="452"/>
      <c r="I508" s="453" t="s">
        <v>844</v>
      </c>
      <c r="J508" s="453"/>
      <c r="K508" s="453"/>
      <c r="L508" s="453"/>
      <c r="M508" s="453"/>
      <c r="N508" s="453"/>
      <c r="O508" s="453"/>
      <c r="P508" s="453"/>
      <c r="Q508" s="453"/>
      <c r="R508" s="453"/>
      <c r="S508" s="453"/>
      <c r="T508" s="453"/>
      <c r="U508" s="453"/>
      <c r="V508" s="453"/>
    </row>
    <row r="509" spans="5:22" s="455" customFormat="1" ht="12.75" hidden="1" customHeight="1">
      <c r="E509" s="452"/>
      <c r="F509" s="452"/>
      <c r="G509" s="452" t="s">
        <v>844</v>
      </c>
      <c r="H509" s="452"/>
      <c r="I509" s="453" t="s">
        <v>844</v>
      </c>
      <c r="J509" s="453"/>
      <c r="K509" s="453"/>
      <c r="L509" s="453"/>
      <c r="M509" s="453"/>
      <c r="N509" s="453"/>
      <c r="O509" s="453"/>
      <c r="P509" s="453"/>
      <c r="Q509" s="453"/>
      <c r="R509" s="453"/>
      <c r="S509" s="453"/>
      <c r="T509" s="453"/>
      <c r="U509" s="453"/>
      <c r="V509" s="453"/>
    </row>
    <row r="510" spans="5:22" s="455" customFormat="1" ht="12.75" hidden="1" customHeight="1">
      <c r="E510" s="452"/>
      <c r="F510" s="452"/>
      <c r="G510" s="452" t="s">
        <v>844</v>
      </c>
      <c r="H510" s="452"/>
      <c r="I510" s="453" t="s">
        <v>844</v>
      </c>
      <c r="J510" s="453"/>
      <c r="K510" s="453"/>
      <c r="L510" s="453"/>
      <c r="M510" s="453"/>
      <c r="N510" s="453"/>
      <c r="O510" s="453"/>
      <c r="P510" s="453"/>
      <c r="Q510" s="453"/>
      <c r="R510" s="453"/>
      <c r="S510" s="453"/>
      <c r="T510" s="453"/>
      <c r="U510" s="453"/>
      <c r="V510" s="453"/>
    </row>
    <row r="511" spans="5:22" s="455" customFormat="1" ht="12.75" hidden="1" customHeight="1">
      <c r="E511" s="452"/>
      <c r="F511" s="452"/>
      <c r="G511" s="452" t="s">
        <v>844</v>
      </c>
      <c r="H511" s="452"/>
      <c r="I511" s="453" t="s">
        <v>844</v>
      </c>
      <c r="J511" s="453"/>
      <c r="K511" s="453"/>
      <c r="L511" s="453"/>
      <c r="M511" s="453"/>
      <c r="N511" s="453"/>
      <c r="O511" s="453"/>
      <c r="P511" s="453"/>
      <c r="Q511" s="453"/>
      <c r="R511" s="453"/>
      <c r="S511" s="453"/>
      <c r="T511" s="453"/>
      <c r="U511" s="453"/>
      <c r="V511" s="453"/>
    </row>
    <row r="512" spans="5:22" s="455" customFormat="1" ht="12.75" hidden="1" customHeight="1">
      <c r="E512" s="452"/>
      <c r="F512" s="452"/>
      <c r="G512" s="452" t="s">
        <v>844</v>
      </c>
      <c r="H512" s="452"/>
      <c r="I512" s="453" t="s">
        <v>844</v>
      </c>
      <c r="J512" s="453"/>
      <c r="K512" s="453"/>
      <c r="L512" s="453"/>
      <c r="M512" s="453"/>
      <c r="N512" s="453"/>
      <c r="O512" s="453"/>
      <c r="P512" s="453"/>
      <c r="Q512" s="453"/>
      <c r="R512" s="453"/>
      <c r="S512" s="453"/>
      <c r="T512" s="453"/>
      <c r="U512" s="453"/>
      <c r="V512" s="453"/>
    </row>
    <row r="513" spans="5:22" s="455" customFormat="1" ht="12.75" hidden="1" customHeight="1">
      <c r="E513" s="452"/>
      <c r="F513" s="452"/>
      <c r="G513" s="452" t="s">
        <v>844</v>
      </c>
      <c r="H513" s="452"/>
      <c r="I513" s="453" t="s">
        <v>844</v>
      </c>
      <c r="J513" s="453"/>
      <c r="K513" s="453"/>
      <c r="L513" s="453"/>
      <c r="M513" s="453"/>
      <c r="N513" s="453"/>
      <c r="O513" s="453"/>
      <c r="P513" s="453"/>
      <c r="Q513" s="453"/>
      <c r="R513" s="453"/>
      <c r="S513" s="453"/>
      <c r="T513" s="453"/>
      <c r="U513" s="453"/>
      <c r="V513" s="453"/>
    </row>
    <row r="514" spans="5:22" s="455" customFormat="1" ht="12.75" hidden="1" customHeight="1">
      <c r="E514" s="452"/>
      <c r="F514" s="452"/>
      <c r="G514" s="452" t="s">
        <v>844</v>
      </c>
      <c r="H514" s="452"/>
      <c r="I514" s="453" t="s">
        <v>844</v>
      </c>
      <c r="J514" s="453"/>
      <c r="K514" s="453"/>
      <c r="L514" s="453"/>
      <c r="M514" s="453"/>
      <c r="N514" s="453"/>
      <c r="O514" s="453"/>
      <c r="P514" s="453"/>
      <c r="Q514" s="453"/>
      <c r="R514" s="453"/>
      <c r="S514" s="453"/>
      <c r="T514" s="453"/>
      <c r="U514" s="453"/>
      <c r="V514" s="453"/>
    </row>
    <row r="515" spans="5:22" s="455" customFormat="1" ht="12.75" hidden="1" customHeight="1">
      <c r="E515" s="452"/>
      <c r="F515" s="452"/>
      <c r="G515" s="452" t="s">
        <v>844</v>
      </c>
      <c r="H515" s="452"/>
      <c r="I515" s="453" t="s">
        <v>844</v>
      </c>
      <c r="J515" s="453"/>
      <c r="K515" s="453"/>
      <c r="L515" s="453"/>
      <c r="M515" s="453"/>
      <c r="N515" s="453"/>
      <c r="O515" s="453"/>
      <c r="P515" s="453"/>
      <c r="Q515" s="453"/>
      <c r="R515" s="453"/>
      <c r="S515" s="453"/>
      <c r="T515" s="453"/>
      <c r="U515" s="453"/>
      <c r="V515" s="453"/>
    </row>
    <row r="516" spans="5:22" s="455" customFormat="1" ht="12.75" hidden="1" customHeight="1">
      <c r="E516" s="452"/>
      <c r="F516" s="452"/>
      <c r="G516" s="452" t="s">
        <v>844</v>
      </c>
      <c r="H516" s="452"/>
      <c r="I516" s="453" t="s">
        <v>844</v>
      </c>
      <c r="J516" s="453"/>
      <c r="K516" s="453"/>
      <c r="L516" s="453"/>
      <c r="M516" s="453"/>
      <c r="N516" s="453"/>
      <c r="O516" s="453"/>
      <c r="P516" s="453"/>
      <c r="Q516" s="453"/>
      <c r="R516" s="453"/>
      <c r="S516" s="453"/>
      <c r="T516" s="453"/>
      <c r="U516" s="453"/>
      <c r="V516" s="453"/>
    </row>
    <row r="517" spans="5:22" s="455" customFormat="1" ht="12.75" hidden="1" customHeight="1">
      <c r="E517" s="452"/>
      <c r="F517" s="452"/>
      <c r="G517" s="452" t="s">
        <v>844</v>
      </c>
      <c r="H517" s="452"/>
      <c r="I517" s="453" t="s">
        <v>844</v>
      </c>
      <c r="J517" s="453"/>
      <c r="K517" s="453"/>
      <c r="L517" s="453"/>
      <c r="M517" s="453"/>
      <c r="N517" s="453"/>
      <c r="O517" s="453"/>
      <c r="P517" s="453"/>
      <c r="Q517" s="453"/>
      <c r="R517" s="453"/>
      <c r="S517" s="453"/>
      <c r="T517" s="453"/>
      <c r="U517" s="453"/>
      <c r="V517" s="453"/>
    </row>
    <row r="518" spans="5:22" s="455" customFormat="1" ht="12.75" hidden="1" customHeight="1">
      <c r="E518" s="452"/>
      <c r="F518" s="452"/>
      <c r="G518" s="452" t="s">
        <v>844</v>
      </c>
      <c r="H518" s="452"/>
      <c r="I518" s="453" t="s">
        <v>844</v>
      </c>
      <c r="J518" s="453"/>
      <c r="K518" s="453"/>
      <c r="L518" s="453"/>
      <c r="M518" s="453"/>
      <c r="N518" s="453"/>
      <c r="O518" s="453"/>
      <c r="P518" s="453"/>
      <c r="Q518" s="453"/>
      <c r="R518" s="453"/>
      <c r="S518" s="453"/>
      <c r="T518" s="453"/>
      <c r="U518" s="453"/>
      <c r="V518" s="453"/>
    </row>
    <row r="519" spans="5:22" s="455" customFormat="1" ht="12.75" hidden="1" customHeight="1">
      <c r="E519" s="452"/>
      <c r="F519" s="452"/>
      <c r="G519" s="452" t="s">
        <v>844</v>
      </c>
      <c r="H519" s="452"/>
      <c r="I519" s="453" t="s">
        <v>844</v>
      </c>
      <c r="J519" s="453"/>
      <c r="K519" s="453"/>
      <c r="L519" s="453"/>
      <c r="M519" s="453"/>
      <c r="N519" s="453"/>
      <c r="O519" s="453"/>
      <c r="P519" s="453"/>
      <c r="Q519" s="453"/>
      <c r="R519" s="453"/>
      <c r="S519" s="453"/>
      <c r="T519" s="453"/>
      <c r="U519" s="453"/>
      <c r="V519" s="453"/>
    </row>
    <row r="520" spans="5:22" s="455" customFormat="1" ht="12.75" hidden="1" customHeight="1">
      <c r="E520" s="452"/>
      <c r="F520" s="452"/>
      <c r="G520" s="452" t="s">
        <v>844</v>
      </c>
      <c r="H520" s="452"/>
      <c r="I520" s="453" t="s">
        <v>844</v>
      </c>
      <c r="J520" s="453"/>
      <c r="K520" s="453"/>
      <c r="L520" s="453"/>
      <c r="M520" s="453"/>
      <c r="N520" s="453"/>
      <c r="O520" s="453"/>
      <c r="P520" s="453"/>
      <c r="Q520" s="453"/>
      <c r="R520" s="453"/>
      <c r="S520" s="453"/>
      <c r="T520" s="453"/>
      <c r="U520" s="453"/>
      <c r="V520" s="453"/>
    </row>
    <row r="521" spans="5:22" s="455" customFormat="1" ht="12.75" hidden="1" customHeight="1">
      <c r="E521" s="452"/>
      <c r="F521" s="452"/>
      <c r="G521" s="452" t="s">
        <v>844</v>
      </c>
      <c r="H521" s="452"/>
      <c r="I521" s="453" t="s">
        <v>844</v>
      </c>
      <c r="J521" s="453"/>
      <c r="K521" s="453"/>
      <c r="L521" s="453"/>
      <c r="M521" s="453"/>
      <c r="N521" s="453"/>
      <c r="O521" s="453"/>
      <c r="P521" s="453"/>
      <c r="Q521" s="453"/>
      <c r="R521" s="453"/>
      <c r="S521" s="453"/>
      <c r="T521" s="453"/>
      <c r="U521" s="453"/>
      <c r="V521" s="453"/>
    </row>
    <row r="522" spans="5:22" s="455" customFormat="1" ht="12.75" hidden="1" customHeight="1">
      <c r="E522" s="452"/>
      <c r="F522" s="452"/>
      <c r="G522" s="452" t="s">
        <v>844</v>
      </c>
      <c r="H522" s="452"/>
      <c r="I522" s="453" t="s">
        <v>844</v>
      </c>
      <c r="J522" s="453"/>
      <c r="K522" s="453"/>
      <c r="L522" s="453"/>
      <c r="M522" s="453"/>
      <c r="N522" s="453"/>
      <c r="O522" s="453"/>
      <c r="P522" s="453"/>
      <c r="Q522" s="453"/>
      <c r="R522" s="453"/>
      <c r="S522" s="453"/>
      <c r="T522" s="453"/>
      <c r="U522" s="453"/>
      <c r="V522" s="453"/>
    </row>
    <row r="523" spans="5:22" s="455" customFormat="1" ht="12.75" hidden="1" customHeight="1">
      <c r="E523" s="452"/>
      <c r="F523" s="452"/>
      <c r="G523" s="452" t="s">
        <v>844</v>
      </c>
      <c r="H523" s="452"/>
      <c r="I523" s="453" t="s">
        <v>844</v>
      </c>
      <c r="J523" s="453"/>
      <c r="K523" s="453"/>
      <c r="L523" s="453"/>
      <c r="M523" s="453"/>
      <c r="N523" s="453"/>
      <c r="O523" s="453"/>
      <c r="P523" s="453"/>
      <c r="Q523" s="453"/>
      <c r="R523" s="453"/>
      <c r="S523" s="453"/>
      <c r="T523" s="453"/>
      <c r="U523" s="453"/>
      <c r="V523" s="453"/>
    </row>
    <row r="524" spans="5:22" s="455" customFormat="1" ht="12.75" hidden="1" customHeight="1">
      <c r="E524" s="452"/>
      <c r="F524" s="452"/>
      <c r="G524" s="452" t="s">
        <v>844</v>
      </c>
      <c r="H524" s="452"/>
      <c r="I524" s="453" t="s">
        <v>844</v>
      </c>
      <c r="J524" s="453"/>
      <c r="K524" s="453"/>
      <c r="L524" s="453"/>
      <c r="M524" s="453"/>
      <c r="N524" s="453"/>
      <c r="O524" s="453"/>
      <c r="P524" s="453"/>
      <c r="Q524" s="453"/>
      <c r="R524" s="453"/>
      <c r="S524" s="453"/>
      <c r="T524" s="453"/>
      <c r="U524" s="453"/>
      <c r="V524" s="453"/>
    </row>
    <row r="525" spans="5:22" s="455" customFormat="1" ht="12.75" hidden="1" customHeight="1">
      <c r="E525" s="452"/>
      <c r="F525" s="452"/>
      <c r="G525" s="452" t="s">
        <v>844</v>
      </c>
      <c r="H525" s="452"/>
      <c r="I525" s="453" t="s">
        <v>844</v>
      </c>
      <c r="J525" s="453"/>
      <c r="K525" s="453"/>
      <c r="L525" s="453"/>
      <c r="M525" s="453"/>
      <c r="N525" s="453"/>
      <c r="O525" s="453"/>
      <c r="P525" s="453"/>
      <c r="Q525" s="453"/>
      <c r="R525" s="453"/>
      <c r="S525" s="453"/>
      <c r="T525" s="453"/>
      <c r="U525" s="453"/>
      <c r="V525" s="453"/>
    </row>
    <row r="526" spans="5:22" s="455" customFormat="1" ht="12.75" hidden="1" customHeight="1">
      <c r="E526" s="452"/>
      <c r="F526" s="452"/>
      <c r="G526" s="452" t="s">
        <v>844</v>
      </c>
      <c r="H526" s="452"/>
      <c r="I526" s="453" t="s">
        <v>844</v>
      </c>
      <c r="J526" s="453"/>
      <c r="K526" s="453"/>
      <c r="L526" s="453"/>
      <c r="M526" s="453"/>
      <c r="N526" s="453"/>
      <c r="O526" s="453"/>
      <c r="P526" s="453"/>
      <c r="Q526" s="453"/>
      <c r="R526" s="453"/>
      <c r="S526" s="453"/>
      <c r="T526" s="453"/>
      <c r="U526" s="453"/>
      <c r="V526" s="453"/>
    </row>
    <row r="527" spans="5:22" s="455" customFormat="1" ht="12.75" hidden="1" customHeight="1">
      <c r="E527" s="452"/>
      <c r="F527" s="452"/>
      <c r="G527" s="452" t="s">
        <v>844</v>
      </c>
      <c r="H527" s="452"/>
      <c r="I527" s="453" t="s">
        <v>844</v>
      </c>
      <c r="J527" s="453"/>
      <c r="K527" s="453"/>
      <c r="L527" s="453"/>
      <c r="M527" s="453"/>
      <c r="N527" s="453"/>
      <c r="O527" s="453"/>
      <c r="P527" s="453"/>
      <c r="Q527" s="453"/>
      <c r="R527" s="453"/>
      <c r="S527" s="453"/>
      <c r="T527" s="453"/>
      <c r="U527" s="453"/>
      <c r="V527" s="453"/>
    </row>
    <row r="528" spans="5:22" s="455" customFormat="1" ht="12.75" hidden="1" customHeight="1">
      <c r="E528" s="452"/>
      <c r="F528" s="452"/>
      <c r="G528" s="452" t="s">
        <v>844</v>
      </c>
      <c r="H528" s="452"/>
      <c r="I528" s="453" t="s">
        <v>844</v>
      </c>
      <c r="J528" s="453"/>
      <c r="K528" s="453"/>
      <c r="L528" s="453"/>
      <c r="M528" s="453"/>
      <c r="N528" s="453"/>
      <c r="O528" s="453"/>
      <c r="P528" s="453"/>
      <c r="Q528" s="453"/>
      <c r="R528" s="453"/>
      <c r="S528" s="453"/>
      <c r="T528" s="453"/>
      <c r="U528" s="453"/>
      <c r="V528" s="453"/>
    </row>
    <row r="529" spans="5:22" s="455" customFormat="1" ht="12.75" hidden="1" customHeight="1">
      <c r="E529" s="452"/>
      <c r="F529" s="452"/>
      <c r="G529" s="452" t="s">
        <v>844</v>
      </c>
      <c r="H529" s="452"/>
      <c r="I529" s="453" t="s">
        <v>844</v>
      </c>
      <c r="J529" s="453"/>
      <c r="K529" s="453"/>
      <c r="L529" s="453"/>
      <c r="M529" s="453"/>
      <c r="N529" s="453"/>
      <c r="O529" s="453"/>
      <c r="P529" s="453"/>
      <c r="Q529" s="453"/>
      <c r="R529" s="453"/>
      <c r="S529" s="453"/>
      <c r="T529" s="453"/>
      <c r="U529" s="453"/>
      <c r="V529" s="453"/>
    </row>
    <row r="530" spans="5:22" s="455" customFormat="1" ht="12.75" hidden="1" customHeight="1">
      <c r="E530" s="452"/>
      <c r="F530" s="452"/>
      <c r="G530" s="452" t="s">
        <v>844</v>
      </c>
      <c r="H530" s="452"/>
      <c r="I530" s="453" t="s">
        <v>844</v>
      </c>
      <c r="J530" s="453"/>
      <c r="K530" s="453"/>
      <c r="L530" s="453"/>
      <c r="M530" s="453"/>
      <c r="N530" s="453"/>
      <c r="O530" s="453"/>
      <c r="P530" s="453"/>
      <c r="Q530" s="453"/>
      <c r="R530" s="453"/>
      <c r="S530" s="453"/>
      <c r="T530" s="453"/>
      <c r="U530" s="453"/>
      <c r="V530" s="453"/>
    </row>
    <row r="531" spans="5:22" s="455" customFormat="1" ht="12.75" hidden="1" customHeight="1">
      <c r="E531" s="452"/>
      <c r="F531" s="452"/>
      <c r="G531" s="452" t="s">
        <v>844</v>
      </c>
      <c r="H531" s="452"/>
      <c r="I531" s="453" t="s">
        <v>844</v>
      </c>
      <c r="J531" s="453"/>
      <c r="K531" s="453"/>
      <c r="L531" s="453"/>
      <c r="M531" s="453"/>
      <c r="N531" s="453"/>
      <c r="O531" s="453"/>
      <c r="P531" s="453"/>
      <c r="Q531" s="453"/>
      <c r="R531" s="453"/>
      <c r="S531" s="453"/>
      <c r="T531" s="453"/>
      <c r="U531" s="453"/>
      <c r="V531" s="453"/>
    </row>
    <row r="532" spans="5:22" s="455" customFormat="1" ht="12.75" hidden="1" customHeight="1">
      <c r="E532" s="452"/>
      <c r="F532" s="452"/>
      <c r="G532" s="452" t="s">
        <v>844</v>
      </c>
      <c r="H532" s="452"/>
      <c r="I532" s="453" t="s">
        <v>844</v>
      </c>
      <c r="J532" s="453"/>
      <c r="K532" s="453"/>
      <c r="L532" s="453"/>
      <c r="M532" s="453"/>
      <c r="N532" s="453"/>
      <c r="O532" s="453"/>
      <c r="P532" s="453"/>
      <c r="Q532" s="453"/>
      <c r="R532" s="453"/>
      <c r="S532" s="453"/>
      <c r="T532" s="453"/>
      <c r="U532" s="453"/>
      <c r="V532" s="453"/>
    </row>
    <row r="533" spans="5:22" s="455" customFormat="1" ht="12.75" hidden="1" customHeight="1">
      <c r="E533" s="452"/>
      <c r="F533" s="452"/>
      <c r="G533" s="452" t="s">
        <v>844</v>
      </c>
      <c r="H533" s="452"/>
      <c r="I533" s="453" t="s">
        <v>844</v>
      </c>
      <c r="J533" s="453"/>
      <c r="K533" s="453"/>
      <c r="L533" s="453"/>
      <c r="M533" s="453"/>
      <c r="N533" s="453"/>
      <c r="O533" s="453"/>
      <c r="P533" s="453"/>
      <c r="Q533" s="453"/>
      <c r="R533" s="453"/>
      <c r="S533" s="453"/>
      <c r="T533" s="453"/>
      <c r="U533" s="453"/>
      <c r="V533" s="453"/>
    </row>
    <row r="534" spans="5:22" s="455" customFormat="1" ht="12.75" hidden="1" customHeight="1">
      <c r="E534" s="452"/>
      <c r="F534" s="452"/>
      <c r="G534" s="452" t="s">
        <v>844</v>
      </c>
      <c r="H534" s="452"/>
      <c r="I534" s="453" t="s">
        <v>844</v>
      </c>
      <c r="J534" s="453"/>
      <c r="K534" s="453"/>
      <c r="L534" s="453"/>
      <c r="M534" s="453"/>
      <c r="N534" s="453"/>
      <c r="O534" s="453"/>
      <c r="P534" s="453"/>
      <c r="Q534" s="453"/>
      <c r="R534" s="453"/>
      <c r="S534" s="453"/>
      <c r="T534" s="453"/>
      <c r="U534" s="453"/>
      <c r="V534" s="453"/>
    </row>
    <row r="535" spans="5:22" s="455" customFormat="1" ht="12.75" hidden="1" customHeight="1">
      <c r="E535" s="452"/>
      <c r="F535" s="452"/>
      <c r="G535" s="452" t="s">
        <v>844</v>
      </c>
      <c r="H535" s="452"/>
      <c r="I535" s="453" t="s">
        <v>844</v>
      </c>
      <c r="J535" s="453"/>
      <c r="K535" s="453"/>
      <c r="L535" s="453"/>
      <c r="M535" s="453"/>
      <c r="N535" s="453"/>
      <c r="O535" s="453"/>
      <c r="P535" s="453"/>
      <c r="Q535" s="453"/>
      <c r="R535" s="453"/>
      <c r="S535" s="453"/>
      <c r="T535" s="453"/>
      <c r="U535" s="453"/>
      <c r="V535" s="453"/>
    </row>
    <row r="536" spans="5:22" s="455" customFormat="1" ht="12.75" hidden="1" customHeight="1">
      <c r="E536" s="452"/>
      <c r="F536" s="452"/>
      <c r="G536" s="452" t="s">
        <v>844</v>
      </c>
      <c r="H536" s="452"/>
      <c r="I536" s="453" t="s">
        <v>844</v>
      </c>
      <c r="J536" s="453"/>
      <c r="K536" s="453"/>
      <c r="L536" s="453"/>
      <c r="M536" s="453"/>
      <c r="N536" s="453"/>
      <c r="O536" s="453"/>
      <c r="P536" s="453"/>
      <c r="Q536" s="453"/>
      <c r="R536" s="453"/>
      <c r="S536" s="453"/>
      <c r="T536" s="453"/>
      <c r="U536" s="453"/>
      <c r="V536" s="453"/>
    </row>
    <row r="537" spans="5:22" s="455" customFormat="1" ht="12.75" hidden="1" customHeight="1">
      <c r="E537" s="452"/>
      <c r="F537" s="452"/>
      <c r="G537" s="452" t="s">
        <v>844</v>
      </c>
      <c r="H537" s="452"/>
      <c r="I537" s="453" t="s">
        <v>844</v>
      </c>
      <c r="J537" s="453"/>
      <c r="K537" s="453"/>
      <c r="L537" s="453"/>
      <c r="M537" s="453"/>
      <c r="N537" s="453"/>
      <c r="O537" s="453"/>
      <c r="P537" s="453"/>
      <c r="Q537" s="453"/>
      <c r="R537" s="453"/>
      <c r="S537" s="453"/>
      <c r="T537" s="453"/>
      <c r="U537" s="453"/>
      <c r="V537" s="453"/>
    </row>
    <row r="538" spans="5:22" s="455" customFormat="1" ht="12.75" hidden="1" customHeight="1">
      <c r="E538" s="452"/>
      <c r="F538" s="452"/>
      <c r="G538" s="452" t="s">
        <v>844</v>
      </c>
      <c r="H538" s="452"/>
      <c r="I538" s="453" t="s">
        <v>844</v>
      </c>
      <c r="J538" s="453"/>
      <c r="K538" s="453"/>
      <c r="L538" s="453"/>
      <c r="M538" s="453"/>
      <c r="N538" s="453"/>
      <c r="O538" s="453"/>
      <c r="P538" s="453"/>
      <c r="Q538" s="453"/>
      <c r="R538" s="453"/>
      <c r="S538" s="453"/>
      <c r="T538" s="453"/>
      <c r="U538" s="453"/>
      <c r="V538" s="453"/>
    </row>
    <row r="539" spans="5:22" s="455" customFormat="1" ht="12.75" hidden="1" customHeight="1">
      <c r="E539" s="452"/>
      <c r="F539" s="452"/>
      <c r="G539" s="452" t="s">
        <v>844</v>
      </c>
      <c r="H539" s="452"/>
      <c r="I539" s="453" t="s">
        <v>844</v>
      </c>
      <c r="J539" s="453"/>
      <c r="K539" s="453"/>
      <c r="L539" s="453"/>
      <c r="M539" s="453"/>
      <c r="N539" s="453"/>
      <c r="O539" s="453"/>
      <c r="P539" s="453"/>
      <c r="Q539" s="453"/>
      <c r="R539" s="453"/>
      <c r="S539" s="453"/>
      <c r="T539" s="453"/>
      <c r="U539" s="453"/>
      <c r="V539" s="453"/>
    </row>
    <row r="540" spans="5:22" s="455" customFormat="1" ht="12.75" hidden="1" customHeight="1">
      <c r="E540" s="452"/>
      <c r="F540" s="452"/>
      <c r="G540" s="452" t="s">
        <v>844</v>
      </c>
      <c r="H540" s="452"/>
      <c r="I540" s="453" t="s">
        <v>844</v>
      </c>
      <c r="J540" s="453"/>
      <c r="K540" s="453"/>
      <c r="L540" s="453"/>
      <c r="M540" s="453"/>
      <c r="N540" s="453"/>
      <c r="O540" s="453"/>
      <c r="P540" s="453"/>
      <c r="Q540" s="453"/>
      <c r="R540" s="453"/>
      <c r="S540" s="453"/>
      <c r="T540" s="453"/>
      <c r="U540" s="453"/>
      <c r="V540" s="453"/>
    </row>
    <row r="541" spans="5:22" s="455" customFormat="1" ht="12.75" hidden="1" customHeight="1">
      <c r="E541" s="452"/>
      <c r="F541" s="452"/>
      <c r="G541" s="452" t="s">
        <v>844</v>
      </c>
      <c r="H541" s="452"/>
      <c r="I541" s="453" t="s">
        <v>844</v>
      </c>
      <c r="J541" s="453"/>
      <c r="K541" s="453"/>
      <c r="L541" s="453"/>
      <c r="M541" s="453"/>
      <c r="N541" s="453"/>
      <c r="O541" s="453"/>
      <c r="P541" s="453"/>
      <c r="Q541" s="453"/>
      <c r="R541" s="453"/>
      <c r="S541" s="453"/>
      <c r="T541" s="453"/>
      <c r="U541" s="453"/>
      <c r="V541" s="453"/>
    </row>
    <row r="542" spans="5:22" s="455" customFormat="1" ht="12.75" hidden="1" customHeight="1">
      <c r="E542" s="452"/>
      <c r="F542" s="452"/>
      <c r="G542" s="452" t="s">
        <v>844</v>
      </c>
      <c r="H542" s="452"/>
      <c r="I542" s="453" t="s">
        <v>844</v>
      </c>
      <c r="J542" s="453"/>
      <c r="K542" s="453"/>
      <c r="L542" s="453"/>
      <c r="M542" s="453"/>
      <c r="N542" s="453"/>
      <c r="O542" s="453"/>
      <c r="P542" s="453"/>
      <c r="Q542" s="453"/>
      <c r="R542" s="453"/>
      <c r="S542" s="453"/>
      <c r="T542" s="453"/>
      <c r="U542" s="453"/>
      <c r="V542" s="453"/>
    </row>
    <row r="543" spans="5:22" s="455" customFormat="1" ht="12.75" hidden="1" customHeight="1">
      <c r="E543" s="452"/>
      <c r="F543" s="452"/>
      <c r="G543" s="452" t="s">
        <v>844</v>
      </c>
      <c r="H543" s="452"/>
      <c r="I543" s="453" t="s">
        <v>844</v>
      </c>
      <c r="J543" s="453"/>
      <c r="K543" s="453"/>
      <c r="L543" s="453"/>
      <c r="M543" s="453"/>
      <c r="N543" s="453"/>
      <c r="O543" s="453"/>
      <c r="P543" s="453"/>
      <c r="Q543" s="453"/>
      <c r="R543" s="453"/>
      <c r="S543" s="453"/>
      <c r="T543" s="453"/>
      <c r="U543" s="453"/>
      <c r="V543" s="453"/>
    </row>
    <row r="544" spans="5:22" s="455" customFormat="1" ht="12.75" hidden="1" customHeight="1">
      <c r="E544" s="452"/>
      <c r="F544" s="452"/>
      <c r="G544" s="452" t="s">
        <v>844</v>
      </c>
      <c r="H544" s="452"/>
      <c r="I544" s="453" t="s">
        <v>844</v>
      </c>
      <c r="J544" s="453"/>
      <c r="K544" s="453"/>
      <c r="L544" s="453"/>
      <c r="M544" s="453"/>
      <c r="N544" s="453"/>
      <c r="O544" s="453"/>
      <c r="P544" s="453"/>
      <c r="Q544" s="453"/>
      <c r="R544" s="453"/>
      <c r="S544" s="453"/>
      <c r="T544" s="453"/>
      <c r="U544" s="453"/>
      <c r="V544" s="453"/>
    </row>
    <row r="545" spans="5:24" s="455" customFormat="1" ht="12.75" hidden="1" customHeight="1">
      <c r="E545" s="452"/>
      <c r="F545" s="452"/>
      <c r="G545" s="452" t="s">
        <v>844</v>
      </c>
      <c r="H545" s="452"/>
      <c r="I545" s="453" t="s">
        <v>844</v>
      </c>
      <c r="J545" s="453"/>
      <c r="K545" s="453"/>
      <c r="L545" s="453"/>
      <c r="M545" s="453"/>
      <c r="N545" s="453"/>
      <c r="O545" s="453"/>
      <c r="P545" s="453"/>
      <c r="Q545" s="453"/>
      <c r="R545" s="453"/>
      <c r="S545" s="453"/>
      <c r="T545" s="453"/>
      <c r="U545" s="453"/>
      <c r="V545" s="453"/>
    </row>
    <row r="546" spans="5:24" s="455" customFormat="1" ht="12.75" hidden="1" customHeight="1">
      <c r="E546" s="452"/>
      <c r="F546" s="452"/>
      <c r="G546" s="452" t="s">
        <v>844</v>
      </c>
      <c r="H546" s="452"/>
      <c r="I546" s="453" t="s">
        <v>844</v>
      </c>
      <c r="J546" s="453"/>
      <c r="K546" s="453"/>
      <c r="L546" s="453"/>
      <c r="M546" s="453"/>
      <c r="N546" s="453"/>
      <c r="O546" s="453"/>
      <c r="P546" s="453"/>
      <c r="Q546" s="453"/>
      <c r="R546" s="453"/>
      <c r="S546" s="453"/>
      <c r="T546" s="453"/>
      <c r="U546" s="453"/>
      <c r="V546" s="453"/>
    </row>
    <row r="547" spans="5:24" s="455" customFormat="1" ht="12.75" hidden="1" customHeight="1">
      <c r="E547" s="452"/>
      <c r="F547" s="452"/>
      <c r="G547" s="452" t="s">
        <v>844</v>
      </c>
      <c r="H547" s="452"/>
      <c r="I547" s="453" t="s">
        <v>844</v>
      </c>
      <c r="J547" s="453"/>
      <c r="K547" s="453"/>
      <c r="L547" s="453"/>
      <c r="M547" s="453"/>
      <c r="N547" s="453"/>
      <c r="O547" s="453"/>
      <c r="P547" s="453"/>
      <c r="Q547" s="453"/>
      <c r="R547" s="453"/>
      <c r="S547" s="453"/>
      <c r="T547" s="453"/>
      <c r="U547" s="453"/>
      <c r="V547" s="453"/>
    </row>
    <row r="548" spans="5:24" s="455" customFormat="1" ht="12.75" hidden="1" customHeight="1">
      <c r="E548" s="452"/>
      <c r="F548" s="452"/>
      <c r="G548" s="452" t="s">
        <v>844</v>
      </c>
      <c r="H548" s="452"/>
      <c r="I548" s="453" t="s">
        <v>844</v>
      </c>
      <c r="J548" s="453"/>
      <c r="K548" s="453"/>
      <c r="L548" s="453"/>
      <c r="M548" s="453"/>
      <c r="N548" s="453"/>
      <c r="O548" s="453"/>
      <c r="P548" s="453"/>
      <c r="Q548" s="453"/>
      <c r="R548" s="453"/>
      <c r="S548" s="453"/>
      <c r="T548" s="453"/>
      <c r="U548" s="453"/>
      <c r="V548" s="453"/>
    </row>
    <row r="549" spans="5:24" s="455" customFormat="1" ht="12.75" hidden="1" customHeight="1">
      <c r="E549" s="452"/>
      <c r="F549" s="452"/>
      <c r="G549" s="452" t="s">
        <v>844</v>
      </c>
      <c r="H549" s="452"/>
      <c r="I549" s="453" t="s">
        <v>844</v>
      </c>
      <c r="J549" s="453"/>
      <c r="K549" s="453"/>
      <c r="L549" s="453"/>
      <c r="M549" s="453"/>
      <c r="N549" s="453"/>
      <c r="O549" s="453"/>
      <c r="P549" s="453"/>
      <c r="Q549" s="453"/>
      <c r="R549" s="453"/>
      <c r="S549" s="453"/>
      <c r="T549" s="453"/>
      <c r="U549" s="453"/>
      <c r="V549" s="453"/>
    </row>
    <row r="550" spans="5:24" s="455" customFormat="1" ht="12.75" hidden="1" customHeight="1">
      <c r="E550" s="452"/>
      <c r="F550" s="452"/>
      <c r="G550" s="452" t="s">
        <v>844</v>
      </c>
      <c r="H550" s="452"/>
      <c r="I550" s="453" t="s">
        <v>844</v>
      </c>
      <c r="J550" s="453"/>
      <c r="K550" s="453"/>
      <c r="L550" s="453"/>
      <c r="M550" s="453"/>
      <c r="N550" s="453"/>
      <c r="O550" s="453"/>
      <c r="P550" s="453"/>
      <c r="Q550" s="453"/>
      <c r="R550" s="453"/>
      <c r="S550" s="453"/>
      <c r="T550" s="453"/>
      <c r="U550" s="453"/>
      <c r="V550" s="453"/>
    </row>
    <row r="551" spans="5:24" s="455" customFormat="1" ht="12.75" hidden="1" customHeight="1">
      <c r="E551" s="452"/>
      <c r="F551" s="452"/>
      <c r="G551" s="452"/>
      <c r="H551" s="452"/>
      <c r="I551" s="453"/>
      <c r="J551" s="453"/>
      <c r="K551" s="453"/>
      <c r="L551" s="453"/>
      <c r="M551" s="453"/>
      <c r="N551" s="453"/>
      <c r="O551" s="453"/>
      <c r="P551" s="453"/>
      <c r="Q551" s="453"/>
      <c r="R551" s="453"/>
      <c r="S551" s="453"/>
      <c r="T551" s="453"/>
      <c r="U551" s="453"/>
      <c r="V551" s="453"/>
    </row>
    <row r="552" spans="5:24" s="468" customFormat="1" ht="13.5" hidden="1" customHeight="1" thickBot="1">
      <c r="E552" s="466"/>
      <c r="F552" s="466"/>
      <c r="G552" s="466"/>
      <c r="H552" s="466"/>
      <c r="I552" s="466"/>
      <c r="J552" s="466">
        <f t="shared" ref="J552:V552" si="10">SUM(J3:J551)</f>
        <v>219826.03000002383</v>
      </c>
      <c r="K552" s="466">
        <f t="shared" si="10"/>
        <v>-1.3140379451215267E-8</v>
      </c>
      <c r="L552" s="466">
        <f t="shared" si="10"/>
        <v>139621.38999999379</v>
      </c>
      <c r="M552" s="466">
        <f t="shared" si="10"/>
        <v>-322524.79000000376</v>
      </c>
      <c r="N552" s="466">
        <f t="shared" si="10"/>
        <v>-219826.02999998629</v>
      </c>
      <c r="O552" s="466">
        <f t="shared" si="10"/>
        <v>-219826.02999998629</v>
      </c>
      <c r="P552" s="466">
        <f t="shared" si="10"/>
        <v>-219826.02999998629</v>
      </c>
      <c r="Q552" s="466">
        <f t="shared" si="10"/>
        <v>-323.02999998629093</v>
      </c>
      <c r="R552" s="466">
        <f t="shared" si="10"/>
        <v>-323.02999998629093</v>
      </c>
      <c r="S552" s="466">
        <f t="shared" si="10"/>
        <v>-323.02999998629093</v>
      </c>
      <c r="T552" s="466">
        <f t="shared" si="10"/>
        <v>-323.02999998629093</v>
      </c>
      <c r="U552" s="466">
        <f t="shared" si="10"/>
        <v>-323.02999998629093</v>
      </c>
      <c r="V552" s="466">
        <f t="shared" si="10"/>
        <v>-323.02999998629093</v>
      </c>
      <c r="W552" s="467"/>
      <c r="X552" s="467"/>
    </row>
    <row r="553" spans="5:24" s="469" customFormat="1" ht="13.5" hidden="1" customHeight="1" thickTop="1">
      <c r="E553" s="469">
        <f>COLUMNS($E552:E$555)</f>
        <v>1</v>
      </c>
      <c r="F553" s="469">
        <f>COLUMNS($E552:F$555)</f>
        <v>2</v>
      </c>
      <c r="G553" s="469">
        <f>COLUMNS($E552:G$555)</f>
        <v>3</v>
      </c>
      <c r="H553" s="469">
        <f>COLUMNS($E552:H$555)</f>
        <v>4</v>
      </c>
      <c r="I553" s="469">
        <f>COLUMNS($E552:I$555)</f>
        <v>5</v>
      </c>
      <c r="J553" s="469">
        <f>COLUMNS($E552:J$555)</f>
        <v>6</v>
      </c>
      <c r="K553" s="469">
        <f>COLUMNS($E552:K$555)</f>
        <v>7</v>
      </c>
      <c r="L553" s="469">
        <f>COLUMNS($E552:L$555)</f>
        <v>8</v>
      </c>
      <c r="M553" s="469">
        <f>COLUMNS($E552:M$555)</f>
        <v>9</v>
      </c>
      <c r="N553" s="469">
        <f>COLUMNS($E552:N$555)</f>
        <v>10</v>
      </c>
      <c r="O553" s="469">
        <f>COLUMNS($E552:O$555)</f>
        <v>11</v>
      </c>
      <c r="P553" s="469">
        <f>COLUMNS($E552:P$555)</f>
        <v>12</v>
      </c>
      <c r="Q553" s="469">
        <f>COLUMNS($E552:Q$555)</f>
        <v>13</v>
      </c>
      <c r="R553" s="469">
        <f>COLUMNS($E552:R$555)</f>
        <v>14</v>
      </c>
      <c r="S553" s="469">
        <f>COLUMNS($E552:S$555)</f>
        <v>15</v>
      </c>
      <c r="T553" s="469">
        <f>COLUMNS($E552:T$555)</f>
        <v>16</v>
      </c>
      <c r="U553" s="469">
        <f>COLUMNS($E552:U$555)</f>
        <v>17</v>
      </c>
      <c r="V553" s="469">
        <f>COLUMNS($E552:V$555)</f>
        <v>18</v>
      </c>
    </row>
    <row r="554" spans="5:24" ht="12.75" hidden="1" customHeight="1">
      <c r="H554" s="470" t="s">
        <v>840</v>
      </c>
      <c r="K554" s="472">
        <f t="shared" ref="K554:V554" si="11">SUMIF($E$3:$E$551,$H$554,K3:K551)</f>
        <v>139621.38999998569</v>
      </c>
      <c r="L554" s="472">
        <f t="shared" si="11"/>
        <v>-322524.79000000656</v>
      </c>
      <c r="M554" s="472">
        <f t="shared" si="11"/>
        <v>-601934.1400000006</v>
      </c>
      <c r="N554" s="472">
        <f t="shared" si="11"/>
        <v>-219826.02999998629</v>
      </c>
      <c r="O554" s="472">
        <f t="shared" si="11"/>
        <v>-219826.02999998629</v>
      </c>
      <c r="P554" s="472">
        <f t="shared" si="11"/>
        <v>-219826.02999998629</v>
      </c>
      <c r="Q554" s="472">
        <f t="shared" si="11"/>
        <v>-323.02999998629093</v>
      </c>
      <c r="R554" s="472">
        <f t="shared" si="11"/>
        <v>-323.02999998629093</v>
      </c>
      <c r="S554" s="472">
        <f t="shared" si="11"/>
        <v>-323.02999998629093</v>
      </c>
      <c r="T554" s="472">
        <f t="shared" si="11"/>
        <v>-323.02999998629093</v>
      </c>
      <c r="U554" s="472">
        <f t="shared" si="11"/>
        <v>-323.02999998629093</v>
      </c>
      <c r="V554" s="472">
        <f t="shared" si="11"/>
        <v>-323.02999998629093</v>
      </c>
    </row>
    <row r="555" spans="5:24" ht="12.75" hidden="1" customHeight="1">
      <c r="H555" s="470" t="s">
        <v>902</v>
      </c>
      <c r="K555" s="472">
        <f t="shared" ref="K555:V555" si="12">SUMIF($E$3:$E$551,$H$555,K3:K551)</f>
        <v>-139621.38999999888</v>
      </c>
      <c r="L555" s="472">
        <f t="shared" si="12"/>
        <v>462146.18000000028</v>
      </c>
      <c r="M555" s="472">
        <f t="shared" si="12"/>
        <v>279409.34999999753</v>
      </c>
      <c r="N555" s="472">
        <f t="shared" si="12"/>
        <v>0</v>
      </c>
      <c r="O555" s="472">
        <f t="shared" si="12"/>
        <v>0</v>
      </c>
      <c r="P555" s="472">
        <f t="shared" si="12"/>
        <v>0</v>
      </c>
      <c r="Q555" s="472">
        <f t="shared" si="12"/>
        <v>0</v>
      </c>
      <c r="R555" s="472">
        <f t="shared" si="12"/>
        <v>0</v>
      </c>
      <c r="S555" s="472">
        <f t="shared" si="12"/>
        <v>0</v>
      </c>
      <c r="T555" s="472">
        <f t="shared" si="12"/>
        <v>0</v>
      </c>
      <c r="U555" s="472">
        <f t="shared" si="12"/>
        <v>0</v>
      </c>
      <c r="V555" s="472">
        <f t="shared" si="12"/>
        <v>0</v>
      </c>
    </row>
  </sheetData>
  <autoFilter ref="A1:V555">
    <filterColumn colId="1">
      <filters>
        <filter val="Exchange gains/(losses)"/>
      </filters>
    </filterColumn>
  </autoFilter>
  <conditionalFormatting sqref="E553:V553 E554:H65536 E1:H552">
    <cfRule type="expression" dxfId="12" priority="12" stopIfTrue="1">
      <formula>OR(#REF!="10009000000000",#REF!="18005303001100",#REF!="18005303001200",#REF!="80002051200000",#REF!="80002121600000",#REF!="80002121700000",#REF!="80002121800000",#REF!="80002121900000",#REF!="80002131101000",#REF!="80002131201000")</formula>
    </cfRule>
    <cfRule type="expression" dxfId="11" priority="13" stopIfTrue="1">
      <formula>OR(#REF!="80003050000000",#REF!="80001001301000",#REF!="800010015010000",#REF!="80001021000000",#REF!="80001021100000",#REF!="80001021200000",#REF!="80001031000000")</formula>
    </cfRule>
  </conditionalFormatting>
  <conditionalFormatting sqref="C3:C247">
    <cfRule type="expression" dxfId="10" priority="7" stopIfTrue="1">
      <formula>OR($G3="10009000000000",$G3="18005303001100",$G3="18005303001200",$G3="80002051200000",$G3="80002121600000",$G3="80002121700000",$G3="80002121800000",$G3="80002121900000",$G3="80002131101000",$G3="80002131201000")</formula>
    </cfRule>
    <cfRule type="expression" dxfId="9" priority="8" stopIfTrue="1">
      <formula>OR($G3="80003050000000",$G3="80001001301000",$G3="800010015010000",$G3="80001021000000",$G3="80001021100000",$G3="80001021200000",$G3="80001031000000")</formula>
    </cfRule>
  </conditionalFormatting>
  <conditionalFormatting sqref="E3:H247">
    <cfRule type="expression" dxfId="8" priority="3" stopIfTrue="1">
      <formula>OR(#REF!="10009000000000",#REF!="18005303001100",#REF!="18005303001200",#REF!="80002051200000",#REF!="80002121600000",#REF!="80002121700000",#REF!="80002121800000",#REF!="80002121900000",#REF!="80002131101000",#REF!="80002131201000")</formula>
    </cfRule>
    <cfRule type="expression" dxfId="7" priority="4" stopIfTrue="1">
      <formula>OR(#REF!="80003050000000",#REF!="80001001301000",#REF!="800010015010000",#REF!="80001021000000",#REF!="80001021100000",#REF!="80001021200000",#REF!="80001031000000")</formula>
    </cfRule>
  </conditionalFormatting>
  <conditionalFormatting sqref="E3:H247">
    <cfRule type="expression" dxfId="6" priority="1" stopIfTrue="1">
      <formula>OR(#REF!="10009000000000",#REF!="18005303001100",#REF!="18005303001200",#REF!="80002051200000",#REF!="80002121600000",#REF!="80002121700000",#REF!="80002121800000",#REF!="80002121900000",#REF!="80002131101000",#REF!="80002131201000")</formula>
    </cfRule>
    <cfRule type="expression" dxfId="5" priority="2" stopIfTrue="1">
      <formula>OR(#REF!="80003050000000",#REF!="80001001301000",#REF!="800010015010000",#REF!="80001021000000",#REF!="80001021100000",#REF!="80001021200000",#REF!="80001031000000")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rgb="FFFF0000"/>
    <pageSetUpPr fitToPage="1"/>
  </sheetPr>
  <dimension ref="A1:F51"/>
  <sheetViews>
    <sheetView tabSelected="1" workbookViewId="0">
      <selection activeCell="F14" sqref="F14"/>
    </sheetView>
  </sheetViews>
  <sheetFormatPr defaultRowHeight="12.75"/>
  <cols>
    <col min="1" max="1" width="29" customWidth="1"/>
    <col min="2" max="2" width="5.42578125" customWidth="1"/>
    <col min="3" max="4" width="21.28515625" customWidth="1"/>
  </cols>
  <sheetData>
    <row r="1" spans="1:5">
      <c r="A1" s="19" t="s">
        <v>327</v>
      </c>
      <c r="B1" s="19"/>
      <c r="C1" s="25"/>
      <c r="D1" s="25"/>
    </row>
    <row r="2" spans="1:5">
      <c r="A2" s="579" t="s">
        <v>2638</v>
      </c>
      <c r="B2" s="225"/>
      <c r="C2" s="25"/>
      <c r="D2" s="25"/>
    </row>
    <row r="3" spans="1:5">
      <c r="A3" s="226"/>
      <c r="B3" s="226"/>
      <c r="C3" s="25"/>
      <c r="D3" s="25"/>
    </row>
    <row r="4" spans="1:5">
      <c r="A4" s="226"/>
      <c r="B4" s="226"/>
      <c r="C4" s="25"/>
      <c r="D4" s="25"/>
    </row>
    <row r="5" spans="1:5">
      <c r="A5" s="226"/>
      <c r="B5" s="226"/>
      <c r="C5" s="210" t="s">
        <v>353</v>
      </c>
      <c r="D5" s="587" t="s">
        <v>353</v>
      </c>
    </row>
    <row r="6" spans="1:5">
      <c r="A6" s="226"/>
      <c r="B6" s="226"/>
      <c r="C6" s="210" t="s">
        <v>354</v>
      </c>
      <c r="D6" s="587" t="s">
        <v>355</v>
      </c>
    </row>
    <row r="7" spans="1:5">
      <c r="A7" s="226"/>
      <c r="B7" s="226"/>
      <c r="C7" s="210" t="s">
        <v>328</v>
      </c>
      <c r="D7" s="587" t="s">
        <v>356</v>
      </c>
    </row>
    <row r="8" spans="1:5">
      <c r="A8" s="25"/>
      <c r="B8" s="25"/>
      <c r="C8" s="577" t="s">
        <v>2639</v>
      </c>
      <c r="D8" s="577" t="s">
        <v>2647</v>
      </c>
    </row>
    <row r="9" spans="1:5">
      <c r="A9" s="25"/>
      <c r="B9" s="25" t="s">
        <v>337</v>
      </c>
      <c r="C9" s="228" t="s">
        <v>329</v>
      </c>
      <c r="D9" s="588" t="s">
        <v>329</v>
      </c>
    </row>
    <row r="10" spans="1:5">
      <c r="C10" s="30"/>
    </row>
    <row r="11" spans="1:5">
      <c r="A11" s="25" t="s">
        <v>357</v>
      </c>
      <c r="B11" s="25"/>
      <c r="C11" s="81"/>
    </row>
    <row r="12" spans="1:5">
      <c r="A12" t="s">
        <v>358</v>
      </c>
      <c r="B12" s="210">
        <v>13</v>
      </c>
      <c r="C12" s="163">
        <v>98144</v>
      </c>
      <c r="D12" s="589">
        <v>90578</v>
      </c>
      <c r="E12" s="82"/>
    </row>
    <row r="13" spans="1:5" hidden="1">
      <c r="A13" t="s">
        <v>673</v>
      </c>
      <c r="B13" s="210"/>
      <c r="C13" s="72"/>
      <c r="D13" s="585"/>
      <c r="E13" s="82"/>
    </row>
    <row r="14" spans="1:5">
      <c r="A14" t="s">
        <v>674</v>
      </c>
      <c r="B14" s="210"/>
      <c r="C14" s="72">
        <v>3986</v>
      </c>
      <c r="D14" s="590">
        <v>3836</v>
      </c>
      <c r="E14" s="82"/>
    </row>
    <row r="15" spans="1:5" hidden="1">
      <c r="A15" s="30" t="s">
        <v>670</v>
      </c>
      <c r="C15" s="230">
        <v>0</v>
      </c>
      <c r="D15" s="591">
        <v>0</v>
      </c>
      <c r="E15" s="82"/>
    </row>
    <row r="16" spans="1:5">
      <c r="B16" s="210"/>
      <c r="C16" s="47"/>
      <c r="D16" s="590"/>
      <c r="E16" s="82"/>
    </row>
    <row r="17" spans="1:4">
      <c r="A17" s="25" t="s">
        <v>359</v>
      </c>
      <c r="B17" s="25"/>
      <c r="C17" s="47"/>
      <c r="D17" s="590"/>
    </row>
    <row r="18" spans="1:4">
      <c r="A18" t="s">
        <v>204</v>
      </c>
      <c r="C18" s="72">
        <v>51770</v>
      </c>
      <c r="D18" s="585">
        <v>51629</v>
      </c>
    </row>
    <row r="19" spans="1:4">
      <c r="A19" t="s">
        <v>360</v>
      </c>
      <c r="C19" s="72">
        <v>24176</v>
      </c>
      <c r="D19" s="585">
        <v>35808</v>
      </c>
    </row>
    <row r="20" spans="1:4">
      <c r="A20" t="s">
        <v>361</v>
      </c>
      <c r="C20" s="230">
        <v>44946</v>
      </c>
      <c r="D20" s="591">
        <v>51365</v>
      </c>
    </row>
    <row r="21" spans="1:4">
      <c r="A21" t="s">
        <v>802</v>
      </c>
      <c r="C21" s="90">
        <v>0</v>
      </c>
      <c r="D21" s="592">
        <v>0</v>
      </c>
    </row>
    <row r="22" spans="1:4">
      <c r="C22" s="229">
        <v>120892</v>
      </c>
      <c r="D22" s="593">
        <f>SUM(D18:D21)</f>
        <v>138802</v>
      </c>
    </row>
    <row r="23" spans="1:4">
      <c r="C23" s="47"/>
      <c r="D23" s="590"/>
    </row>
    <row r="24" spans="1:4">
      <c r="A24" s="25" t="s">
        <v>362</v>
      </c>
      <c r="B24" s="25"/>
      <c r="C24" s="47"/>
      <c r="D24" s="590"/>
    </row>
    <row r="25" spans="1:4">
      <c r="A25" t="s">
        <v>363</v>
      </c>
      <c r="C25" s="72">
        <v>16488</v>
      </c>
      <c r="D25" s="585">
        <v>22388</v>
      </c>
    </row>
    <row r="26" spans="1:4">
      <c r="A26" t="s">
        <v>676</v>
      </c>
      <c r="C26" s="72">
        <v>836</v>
      </c>
      <c r="D26" s="585">
        <v>309</v>
      </c>
    </row>
    <row r="27" spans="1:4" hidden="1">
      <c r="A27" t="s">
        <v>806</v>
      </c>
      <c r="C27" s="47">
        <v>0</v>
      </c>
      <c r="D27" s="590">
        <v>0</v>
      </c>
    </row>
    <row r="28" spans="1:4">
      <c r="C28" s="229">
        <v>17324</v>
      </c>
      <c r="D28" s="593">
        <f>SUM(D25:D27)</f>
        <v>22697</v>
      </c>
    </row>
    <row r="29" spans="1:4">
      <c r="C29" s="47"/>
      <c r="D29" s="590"/>
    </row>
    <row r="30" spans="1:4">
      <c r="A30" s="25" t="s">
        <v>365</v>
      </c>
      <c r="B30" s="25"/>
      <c r="C30" s="90">
        <v>103568</v>
      </c>
      <c r="D30" s="592">
        <f>+D22-D28</f>
        <v>116105</v>
      </c>
    </row>
    <row r="31" spans="1:4">
      <c r="C31" s="47"/>
      <c r="D31" s="590"/>
    </row>
    <row r="32" spans="1:4">
      <c r="C32" s="47"/>
      <c r="D32" s="590"/>
    </row>
    <row r="33" spans="1:6">
      <c r="A33" s="25" t="s">
        <v>366</v>
      </c>
      <c r="B33" s="25"/>
      <c r="C33" s="47"/>
      <c r="D33" s="590"/>
    </row>
    <row r="34" spans="1:6">
      <c r="A34" t="s">
        <v>367</v>
      </c>
      <c r="C34" s="72">
        <v>6211</v>
      </c>
      <c r="D34" s="590">
        <v>5707</v>
      </c>
    </row>
    <row r="35" spans="1:6" ht="12.75" hidden="1" customHeight="1">
      <c r="A35" s="51"/>
      <c r="C35" s="106"/>
      <c r="D35" s="445"/>
    </row>
    <row r="36" spans="1:6">
      <c r="A36" t="s">
        <v>675</v>
      </c>
      <c r="C36" s="585">
        <v>12202</v>
      </c>
      <c r="D36" s="590">
        <f>8672+D14</f>
        <v>12508</v>
      </c>
    </row>
    <row r="37" spans="1:6">
      <c r="C37" s="229">
        <v>18027</v>
      </c>
      <c r="D37" s="593">
        <f>SUM(D34:D36)</f>
        <v>18215</v>
      </c>
    </row>
    <row r="38" spans="1:6">
      <c r="C38" s="47"/>
      <c r="D38" s="590"/>
    </row>
    <row r="39" spans="1:6" ht="13.5" thickBot="1">
      <c r="C39" s="231">
        <v>187285</v>
      </c>
      <c r="D39" s="594">
        <f>+D12+D13+D14+D15+D30-D37</f>
        <v>192304</v>
      </c>
      <c r="F39" s="82"/>
    </row>
    <row r="40" spans="1:6">
      <c r="C40" s="47"/>
      <c r="D40" s="590"/>
    </row>
    <row r="41" spans="1:6">
      <c r="A41" s="25" t="s">
        <v>369</v>
      </c>
      <c r="B41" s="25"/>
      <c r="C41" s="47"/>
      <c r="D41" s="590"/>
    </row>
    <row r="42" spans="1:6">
      <c r="A42" t="s">
        <v>370</v>
      </c>
      <c r="C42" s="47">
        <v>134331</v>
      </c>
      <c r="D42" s="590">
        <v>134331</v>
      </c>
    </row>
    <row r="43" spans="1:6" s="51" customFormat="1">
      <c r="A43" s="51" t="s">
        <v>371</v>
      </c>
      <c r="C43" s="92">
        <v>52954.000000000007</v>
      </c>
      <c r="D43" s="595">
        <v>57973</v>
      </c>
    </row>
    <row r="44" spans="1:6" s="51" customFormat="1">
      <c r="C44" s="72">
        <v>187285</v>
      </c>
      <c r="D44" s="585">
        <f>+D42+D43</f>
        <v>192304</v>
      </c>
    </row>
    <row r="45" spans="1:6" s="51" customFormat="1">
      <c r="A45" s="106" t="s">
        <v>347</v>
      </c>
      <c r="B45" s="50"/>
      <c r="C45" s="72">
        <v>0</v>
      </c>
      <c r="D45" s="585">
        <v>0</v>
      </c>
    </row>
    <row r="46" spans="1:6" s="51" customFormat="1" ht="22.5" customHeight="1" thickBot="1">
      <c r="A46" s="50" t="s">
        <v>672</v>
      </c>
      <c r="C46" s="423">
        <v>187285</v>
      </c>
      <c r="D46" s="596">
        <f>+D44+D45</f>
        <v>192304</v>
      </c>
    </row>
    <row r="47" spans="1:6" s="51" customFormat="1">
      <c r="C47" s="53">
        <v>0</v>
      </c>
      <c r="D47" s="53">
        <v>0</v>
      </c>
    </row>
    <row r="48" spans="1:6" s="51" customFormat="1" hidden="1">
      <c r="A48" s="50" t="s">
        <v>373</v>
      </c>
      <c r="B48" s="50"/>
      <c r="C48" s="52"/>
      <c r="D48" s="52"/>
    </row>
    <row r="50" spans="1:2">
      <c r="A50" s="29" t="s">
        <v>2631</v>
      </c>
      <c r="B50" s="25"/>
    </row>
    <row r="51" spans="1:2">
      <c r="A51" s="29" t="s">
        <v>2632</v>
      </c>
      <c r="B51" s="25"/>
    </row>
  </sheetData>
  <phoneticPr fontId="0" type="noConversion"/>
  <printOptions horizontalCentered="1"/>
  <pageMargins left="0.54" right="0.75" top="0.63" bottom="0.72" header="0.5" footer="0.37"/>
  <pageSetup paperSize="9" orientation="portrait" blackAndWhite="1" horizontalDpi="4294967292" verticalDpi="1200" r:id="rId1"/>
  <headerFooter alignWithMargins="0">
    <oddFooter>&amp;L&amp;D&amp;F&amp;A&amp;T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 enableFormatConditionsCalculation="0">
    <tabColor rgb="FF7030A0"/>
    <pageSetUpPr fitToPage="1"/>
  </sheetPr>
  <dimension ref="B4:L32"/>
  <sheetViews>
    <sheetView workbookViewId="0">
      <selection activeCell="J1" sqref="J1"/>
    </sheetView>
  </sheetViews>
  <sheetFormatPr defaultRowHeight="12.75"/>
  <cols>
    <col min="1" max="1" width="2.5703125" customWidth="1"/>
    <col min="2" max="2" width="5.140625" customWidth="1"/>
    <col min="3" max="3" width="22.140625" customWidth="1"/>
    <col min="4" max="4" width="18" customWidth="1"/>
    <col min="5" max="5" width="14" style="424" bestFit="1" customWidth="1"/>
    <col min="6" max="6" width="1.7109375" customWidth="1"/>
    <col min="7" max="7" width="5.42578125" customWidth="1"/>
    <col min="8" max="8" width="24" bestFit="1" customWidth="1"/>
    <col min="9" max="9" width="17.5703125" customWidth="1"/>
    <col min="10" max="10" width="14.5703125" bestFit="1" customWidth="1"/>
    <col min="11" max="11" width="2" customWidth="1"/>
    <col min="12" max="12" width="11.28515625" style="424" bestFit="1" customWidth="1"/>
  </cols>
  <sheetData>
    <row r="4" spans="2:12" ht="20.25">
      <c r="C4" s="598" t="s">
        <v>827</v>
      </c>
      <c r="D4" s="597"/>
      <c r="E4" s="597"/>
      <c r="F4" s="597"/>
      <c r="G4" s="597"/>
      <c r="H4" s="597"/>
      <c r="I4" s="597"/>
      <c r="J4" s="597"/>
    </row>
    <row r="6" spans="2:12">
      <c r="C6" s="49" t="s">
        <v>0</v>
      </c>
      <c r="H6" s="49" t="s">
        <v>253</v>
      </c>
      <c r="J6" s="424"/>
    </row>
    <row r="7" spans="2:12" s="49" customFormat="1">
      <c r="B7" s="425" t="s">
        <v>745</v>
      </c>
      <c r="C7" s="49" t="s">
        <v>746</v>
      </c>
      <c r="D7" s="49" t="s">
        <v>747</v>
      </c>
      <c r="E7" s="426" t="s">
        <v>748</v>
      </c>
      <c r="G7" s="425" t="s">
        <v>745</v>
      </c>
      <c r="H7" s="49" t="s">
        <v>746</v>
      </c>
      <c r="I7" s="49" t="s">
        <v>747</v>
      </c>
      <c r="J7" s="426" t="s">
        <v>748</v>
      </c>
      <c r="L7" s="426" t="s">
        <v>524</v>
      </c>
    </row>
    <row r="9" spans="2:12" ht="12" customHeight="1">
      <c r="B9" t="s">
        <v>749</v>
      </c>
      <c r="C9" s="98" t="s">
        <v>750</v>
      </c>
      <c r="D9" t="s">
        <v>751</v>
      </c>
      <c r="E9" s="424">
        <v>16444014.98</v>
      </c>
      <c r="G9" t="s">
        <v>752</v>
      </c>
      <c r="H9" t="s">
        <v>753</v>
      </c>
      <c r="I9" t="s">
        <v>803</v>
      </c>
      <c r="J9" s="424">
        <v>-16444014.98</v>
      </c>
      <c r="L9" s="424">
        <f>+J9+E9</f>
        <v>0</v>
      </c>
    </row>
    <row r="10" spans="2:12">
      <c r="B10" t="s">
        <v>749</v>
      </c>
      <c r="C10" s="98" t="s">
        <v>754</v>
      </c>
      <c r="D10" s="98" t="s">
        <v>755</v>
      </c>
      <c r="E10" s="424">
        <v>261276.9</v>
      </c>
      <c r="G10" t="s">
        <v>752</v>
      </c>
      <c r="H10" t="s">
        <v>756</v>
      </c>
      <c r="I10" s="98" t="s">
        <v>779</v>
      </c>
      <c r="J10" s="424">
        <v>-261276.9</v>
      </c>
      <c r="L10" s="424">
        <f>+J10+E10</f>
        <v>0</v>
      </c>
    </row>
    <row r="11" spans="2:12">
      <c r="J11" s="424"/>
    </row>
    <row r="12" spans="2:12" ht="13.5" thickBot="1">
      <c r="E12" s="427">
        <f>SUM(E9:E11)</f>
        <v>16705291.880000001</v>
      </c>
      <c r="J12" s="427">
        <f>SUM(J9:J11)</f>
        <v>-16705291.880000001</v>
      </c>
      <c r="L12" s="424">
        <f>+J12+E12</f>
        <v>0</v>
      </c>
    </row>
    <row r="13" spans="2:12" ht="13.5" thickTop="1">
      <c r="J13" s="424"/>
    </row>
    <row r="14" spans="2:12">
      <c r="J14" s="424"/>
    </row>
    <row r="15" spans="2:12" ht="18">
      <c r="C15" s="598" t="s">
        <v>828</v>
      </c>
      <c r="D15" s="598"/>
      <c r="E15" s="598"/>
      <c r="F15" s="598"/>
      <c r="G15" s="598"/>
      <c r="H15" s="598"/>
      <c r="I15" s="598"/>
      <c r="J15" s="598"/>
    </row>
    <row r="17" spans="2:12" s="49" customFormat="1">
      <c r="C17" s="49" t="s">
        <v>0</v>
      </c>
      <c r="D17"/>
      <c r="E17" s="424"/>
      <c r="F17"/>
      <c r="G17"/>
      <c r="H17" s="49" t="s">
        <v>253</v>
      </c>
      <c r="I17"/>
      <c r="J17" s="424"/>
      <c r="L17" s="424"/>
    </row>
    <row r="18" spans="2:12">
      <c r="B18" s="49" t="str">
        <f>+B7</f>
        <v>Type</v>
      </c>
      <c r="C18" s="49" t="str">
        <f t="shared" ref="C18:L18" si="0">+C7</f>
        <v>GL DESCRIPTION</v>
      </c>
      <c r="D18" s="49" t="str">
        <f t="shared" si="0"/>
        <v>GL CODE</v>
      </c>
      <c r="E18" s="49" t="str">
        <f t="shared" si="0"/>
        <v>BALANCE</v>
      </c>
      <c r="F18" s="49"/>
      <c r="G18" s="49" t="str">
        <f t="shared" si="0"/>
        <v>Type</v>
      </c>
      <c r="H18" s="49" t="str">
        <f t="shared" si="0"/>
        <v>GL DESCRIPTION</v>
      </c>
      <c r="I18" s="49" t="str">
        <f t="shared" si="0"/>
        <v>GL CODE</v>
      </c>
      <c r="J18" s="49" t="str">
        <f t="shared" si="0"/>
        <v>BALANCE</v>
      </c>
      <c r="K18" s="49"/>
      <c r="L18" s="49" t="str">
        <f t="shared" si="0"/>
        <v>Diff</v>
      </c>
    </row>
    <row r="19" spans="2:12">
      <c r="C19" s="49"/>
      <c r="D19" s="49"/>
      <c r="E19" s="426"/>
      <c r="F19" s="49"/>
      <c r="G19" s="49"/>
      <c r="H19" s="49"/>
      <c r="I19" s="49"/>
      <c r="J19" s="426"/>
    </row>
    <row r="20" spans="2:12" ht="13.5" thickBot="1">
      <c r="B20" t="s">
        <v>752</v>
      </c>
      <c r="C20" t="s">
        <v>757</v>
      </c>
      <c r="D20" s="98" t="s">
        <v>758</v>
      </c>
      <c r="E20" s="428">
        <v>-1044942.33</v>
      </c>
      <c r="G20" t="s">
        <v>749</v>
      </c>
      <c r="H20" t="s">
        <v>759</v>
      </c>
      <c r="I20" s="98" t="s">
        <v>760</v>
      </c>
      <c r="J20" s="428">
        <v>1044942.33</v>
      </c>
    </row>
    <row r="21" spans="2:12" ht="13.5" thickTop="1">
      <c r="H21" s="98"/>
      <c r="I21" s="98"/>
      <c r="J21" s="424"/>
    </row>
    <row r="26" spans="2:12">
      <c r="C26" t="s">
        <v>761</v>
      </c>
    </row>
    <row r="29" spans="2:12">
      <c r="C29" s="98" t="s">
        <v>762</v>
      </c>
    </row>
    <row r="32" spans="2:12">
      <c r="C32" s="98" t="s">
        <v>763</v>
      </c>
    </row>
  </sheetData>
  <mergeCells count="2">
    <mergeCell ref="C4:J4"/>
    <mergeCell ref="C15:J15"/>
  </mergeCells>
  <phoneticPr fontId="0" type="noConversion"/>
  <conditionalFormatting sqref="L20 L9:L12">
    <cfRule type="cellIs" dxfId="4" priority="3" stopIfTrue="1" operator="notEqual">
      <formula>0</formula>
    </cfRule>
  </conditionalFormatting>
  <conditionalFormatting sqref="L20 L9:L12">
    <cfRule type="cellIs" dxfId="3" priority="2" stopIfTrue="1" operator="notEqual">
      <formula>0</formula>
    </cfRule>
  </conditionalFormatting>
  <conditionalFormatting sqref="L20 L9:L12">
    <cfRule type="cellIs" dxfId="2" priority="1" stopIfTrue="1" operator="notEqual">
      <formula>0</formula>
    </cfRule>
  </conditionalFormatting>
  <pageMargins left="0.2" right="0.15" top="0.4" bottom="0.4" header="0.19" footer="0.28000000000000003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>
    <tabColor rgb="FFFFC000"/>
  </sheetPr>
  <dimension ref="B1:R216"/>
  <sheetViews>
    <sheetView workbookViewId="0"/>
  </sheetViews>
  <sheetFormatPr defaultRowHeight="12.75"/>
  <cols>
    <col min="1" max="1" width="5.140625" customWidth="1"/>
    <col min="3" max="3" width="24.140625" bestFit="1" customWidth="1"/>
    <col min="4" max="4" width="9.7109375" style="478" bestFit="1" customWidth="1"/>
    <col min="5" max="5" width="33.42578125" customWidth="1"/>
    <col min="6" max="6" width="5.28515625" customWidth="1"/>
    <col min="7" max="7" width="11" bestFit="1" customWidth="1"/>
    <col min="12" max="12" width="4.7109375" bestFit="1" customWidth="1"/>
    <col min="13" max="13" width="24.140625" bestFit="1" customWidth="1"/>
    <col min="14" max="14" width="10.28515625" bestFit="1" customWidth="1"/>
    <col min="15" max="15" width="33.85546875" bestFit="1" customWidth="1"/>
    <col min="17" max="17" width="11" bestFit="1" customWidth="1"/>
  </cols>
  <sheetData>
    <row r="1" spans="2:18" ht="13.5" thickBot="1">
      <c r="B1" s="49" t="s">
        <v>0</v>
      </c>
      <c r="L1" s="49" t="s">
        <v>253</v>
      </c>
    </row>
    <row r="2" spans="2:18" ht="13.5" thickBot="1">
      <c r="B2" s="479" t="s">
        <v>2330</v>
      </c>
      <c r="C2" s="480" t="s">
        <v>2331</v>
      </c>
      <c r="D2" s="481" t="s">
        <v>2332</v>
      </c>
      <c r="E2" s="480" t="s">
        <v>2333</v>
      </c>
      <c r="G2" s="482" t="s">
        <v>2334</v>
      </c>
      <c r="H2" s="483" t="s">
        <v>2335</v>
      </c>
      <c r="L2" s="479" t="s">
        <v>2330</v>
      </c>
      <c r="M2" s="480" t="s">
        <v>2331</v>
      </c>
      <c r="N2" s="479" t="s">
        <v>2332</v>
      </c>
      <c r="O2" s="480" t="s">
        <v>2333</v>
      </c>
      <c r="Q2" s="482" t="s">
        <v>2334</v>
      </c>
      <c r="R2" s="483" t="s">
        <v>2335</v>
      </c>
    </row>
    <row r="3" spans="2:18">
      <c r="B3" s="484" t="s">
        <v>2336</v>
      </c>
      <c r="C3" s="485" t="s">
        <v>2337</v>
      </c>
      <c r="D3" s="486" t="s">
        <v>2338</v>
      </c>
      <c r="E3" s="487" t="s">
        <v>2339</v>
      </c>
      <c r="G3" s="488" t="s">
        <v>2081</v>
      </c>
      <c r="H3" s="489">
        <v>542</v>
      </c>
      <c r="L3" s="484" t="s">
        <v>2336</v>
      </c>
      <c r="M3" s="485" t="s">
        <v>2337</v>
      </c>
      <c r="N3" s="490" t="s">
        <v>2338</v>
      </c>
      <c r="O3" s="491" t="s">
        <v>2339</v>
      </c>
      <c r="Q3" s="492" t="s">
        <v>2176</v>
      </c>
      <c r="R3" s="493">
        <v>541</v>
      </c>
    </row>
    <row r="4" spans="2:18">
      <c r="B4" s="494"/>
      <c r="C4" s="495" t="s">
        <v>2340</v>
      </c>
      <c r="D4" s="496" t="s">
        <v>2341</v>
      </c>
      <c r="E4" s="491" t="s">
        <v>2339</v>
      </c>
      <c r="G4" s="488" t="s">
        <v>2083</v>
      </c>
      <c r="H4" s="489">
        <v>542</v>
      </c>
      <c r="L4" s="494"/>
      <c r="M4" s="495" t="s">
        <v>2340</v>
      </c>
      <c r="N4" s="497" t="s">
        <v>2341</v>
      </c>
      <c r="O4" s="491" t="s">
        <v>2339</v>
      </c>
      <c r="Q4" s="492" t="s">
        <v>2610</v>
      </c>
      <c r="R4" s="493">
        <v>541</v>
      </c>
    </row>
    <row r="5" spans="2:18">
      <c r="B5" s="494"/>
      <c r="C5" s="495" t="s">
        <v>2343</v>
      </c>
      <c r="D5" s="496" t="s">
        <v>2344</v>
      </c>
      <c r="E5" s="491" t="s">
        <v>2339</v>
      </c>
      <c r="G5" s="499" t="s">
        <v>2088</v>
      </c>
      <c r="H5" s="500">
        <v>543</v>
      </c>
      <c r="L5" s="494"/>
      <c r="M5" s="495" t="s">
        <v>2343</v>
      </c>
      <c r="N5" s="497" t="s">
        <v>2344</v>
      </c>
      <c r="O5" s="491" t="s">
        <v>2339</v>
      </c>
      <c r="Q5" s="492" t="s">
        <v>2125</v>
      </c>
      <c r="R5" s="498" t="s">
        <v>2342</v>
      </c>
    </row>
    <row r="6" spans="2:18">
      <c r="B6" s="494"/>
      <c r="C6" s="495" t="s">
        <v>2343</v>
      </c>
      <c r="D6" s="496" t="s">
        <v>2345</v>
      </c>
      <c r="E6" s="491" t="s">
        <v>2339</v>
      </c>
      <c r="G6" s="499" t="s">
        <v>2346</v>
      </c>
      <c r="H6" s="500">
        <v>543</v>
      </c>
      <c r="L6" s="494"/>
      <c r="M6" s="495" t="s">
        <v>2343</v>
      </c>
      <c r="N6" s="497" t="s">
        <v>2345</v>
      </c>
      <c r="O6" s="491" t="s">
        <v>2339</v>
      </c>
      <c r="Q6" s="492" t="s">
        <v>2126</v>
      </c>
      <c r="R6" s="498" t="s">
        <v>2342</v>
      </c>
    </row>
    <row r="7" spans="2:18">
      <c r="B7" s="494"/>
      <c r="C7" s="495" t="s">
        <v>2347</v>
      </c>
      <c r="D7" s="496" t="s">
        <v>2348</v>
      </c>
      <c r="E7" s="491" t="s">
        <v>2339</v>
      </c>
      <c r="G7" s="492" t="s">
        <v>2079</v>
      </c>
      <c r="H7" s="501">
        <v>549</v>
      </c>
      <c r="L7" s="494"/>
      <c r="M7" s="495" t="s">
        <v>2347</v>
      </c>
      <c r="N7" s="497" t="s">
        <v>2348</v>
      </c>
      <c r="O7" s="491" t="s">
        <v>2339</v>
      </c>
      <c r="Q7" s="492" t="s">
        <v>2121</v>
      </c>
      <c r="R7" s="498" t="s">
        <v>2342</v>
      </c>
    </row>
    <row r="8" spans="2:18">
      <c r="B8" s="494"/>
      <c r="C8" s="502" t="s">
        <v>2350</v>
      </c>
      <c r="D8" s="496" t="s">
        <v>2351</v>
      </c>
      <c r="E8" s="491" t="s">
        <v>2339</v>
      </c>
      <c r="G8" s="492" t="s">
        <v>2024</v>
      </c>
      <c r="H8" s="503" t="s">
        <v>2352</v>
      </c>
      <c r="L8" s="494"/>
      <c r="M8" s="502" t="s">
        <v>2350</v>
      </c>
      <c r="N8" s="497" t="s">
        <v>2351</v>
      </c>
      <c r="O8" s="504" t="s">
        <v>518</v>
      </c>
      <c r="Q8" s="492" t="s">
        <v>2133</v>
      </c>
      <c r="R8" s="493" t="s">
        <v>2349</v>
      </c>
    </row>
    <row r="9" spans="2:18">
      <c r="B9" s="494"/>
      <c r="C9" s="495" t="s">
        <v>2353</v>
      </c>
      <c r="D9" s="496" t="s">
        <v>2354</v>
      </c>
      <c r="E9" s="491" t="s">
        <v>2339</v>
      </c>
      <c r="G9" s="492" t="s">
        <v>2019</v>
      </c>
      <c r="H9" s="503" t="s">
        <v>2352</v>
      </c>
      <c r="L9" s="494"/>
      <c r="M9" s="495" t="s">
        <v>2353</v>
      </c>
      <c r="N9" s="497" t="s">
        <v>2354</v>
      </c>
      <c r="O9" s="491" t="s">
        <v>2339</v>
      </c>
      <c r="Q9" s="492" t="s">
        <v>2088</v>
      </c>
      <c r="R9" s="492">
        <v>543</v>
      </c>
    </row>
    <row r="10" spans="2:18">
      <c r="B10" s="494"/>
      <c r="C10" s="495" t="s">
        <v>2353</v>
      </c>
      <c r="D10" s="496" t="s">
        <v>2356</v>
      </c>
      <c r="E10" s="491" t="s">
        <v>2339</v>
      </c>
      <c r="G10" s="492" t="s">
        <v>2035</v>
      </c>
      <c r="H10" s="503" t="s">
        <v>2352</v>
      </c>
      <c r="L10" s="494"/>
      <c r="M10" s="495" t="s">
        <v>2353</v>
      </c>
      <c r="N10" s="497" t="s">
        <v>2356</v>
      </c>
      <c r="O10" s="491" t="s">
        <v>2339</v>
      </c>
      <c r="Q10" s="492" t="s">
        <v>2355</v>
      </c>
      <c r="R10" s="492">
        <v>541</v>
      </c>
    </row>
    <row r="11" spans="2:18">
      <c r="B11" s="494"/>
      <c r="C11" s="495" t="s">
        <v>2357</v>
      </c>
      <c r="D11" s="496" t="s">
        <v>2351</v>
      </c>
      <c r="E11" s="491" t="s">
        <v>2339</v>
      </c>
      <c r="G11" s="492" t="s">
        <v>2067</v>
      </c>
      <c r="H11" s="505">
        <v>206</v>
      </c>
      <c r="L11" s="494"/>
      <c r="M11" s="495" t="s">
        <v>2357</v>
      </c>
      <c r="N11" s="497" t="s">
        <v>2351</v>
      </c>
      <c r="O11" s="504" t="s">
        <v>518</v>
      </c>
      <c r="Q11" s="492" t="s">
        <v>2134</v>
      </c>
      <c r="R11" s="492">
        <v>205</v>
      </c>
    </row>
    <row r="12" spans="2:18">
      <c r="B12" s="494"/>
      <c r="C12" s="495" t="s">
        <v>2358</v>
      </c>
      <c r="D12" s="496" t="s">
        <v>2359</v>
      </c>
      <c r="E12" s="491" t="s">
        <v>2339</v>
      </c>
      <c r="G12" s="492" t="s">
        <v>2078</v>
      </c>
      <c r="H12" s="503" t="s">
        <v>2360</v>
      </c>
      <c r="L12" s="494"/>
      <c r="M12" s="495" t="s">
        <v>2358</v>
      </c>
      <c r="N12" s="497" t="s">
        <v>2359</v>
      </c>
      <c r="O12" s="491" t="s">
        <v>2339</v>
      </c>
      <c r="Q12" s="492" t="s">
        <v>2178</v>
      </c>
      <c r="R12" s="498">
        <v>550</v>
      </c>
    </row>
    <row r="13" spans="2:18">
      <c r="B13" s="494"/>
      <c r="C13" s="495"/>
      <c r="D13" s="496" t="s">
        <v>2361</v>
      </c>
      <c r="E13" s="491" t="s">
        <v>2362</v>
      </c>
      <c r="G13" s="492" t="s">
        <v>2036</v>
      </c>
      <c r="H13" s="501">
        <v>207</v>
      </c>
      <c r="L13" s="494"/>
      <c r="M13" s="495"/>
      <c r="N13" s="507">
        <v>413</v>
      </c>
      <c r="O13" s="491" t="s">
        <v>2362</v>
      </c>
      <c r="Q13" s="492" t="s">
        <v>950</v>
      </c>
      <c r="R13" s="506">
        <v>551</v>
      </c>
    </row>
    <row r="14" spans="2:18">
      <c r="B14" s="494"/>
      <c r="C14" s="495" t="s">
        <v>2363</v>
      </c>
      <c r="D14" s="496" t="s">
        <v>2364</v>
      </c>
      <c r="E14" s="491" t="s">
        <v>2365</v>
      </c>
      <c r="G14" s="492" t="s">
        <v>956</v>
      </c>
      <c r="H14" s="501">
        <v>551</v>
      </c>
      <c r="L14" s="494"/>
      <c r="M14" s="495"/>
      <c r="N14" s="497"/>
      <c r="O14" s="491"/>
      <c r="Q14" s="492" t="s">
        <v>2180</v>
      </c>
      <c r="R14" s="506">
        <v>551</v>
      </c>
    </row>
    <row r="15" spans="2:18">
      <c r="B15" s="494"/>
      <c r="C15" s="495" t="s">
        <v>2366</v>
      </c>
      <c r="D15" s="496" t="s">
        <v>2367</v>
      </c>
      <c r="E15" s="491" t="s">
        <v>2365</v>
      </c>
      <c r="G15" s="492" t="s">
        <v>1942</v>
      </c>
      <c r="H15" s="501">
        <v>413</v>
      </c>
      <c r="L15" s="494"/>
      <c r="M15" s="495" t="s">
        <v>2363</v>
      </c>
      <c r="N15" s="497" t="s">
        <v>2364</v>
      </c>
      <c r="O15" s="491" t="s">
        <v>2365</v>
      </c>
      <c r="Q15" s="492" t="s">
        <v>911</v>
      </c>
      <c r="R15" s="506">
        <v>521</v>
      </c>
    </row>
    <row r="16" spans="2:18">
      <c r="B16" s="494"/>
      <c r="C16" s="495"/>
      <c r="D16" s="496" t="s">
        <v>2369</v>
      </c>
      <c r="E16" s="491" t="s">
        <v>2365</v>
      </c>
      <c r="G16" s="492" t="s">
        <v>1944</v>
      </c>
      <c r="H16" s="501">
        <v>413</v>
      </c>
      <c r="L16" s="494"/>
      <c r="M16" s="495" t="s">
        <v>2366</v>
      </c>
      <c r="N16" s="509" t="s">
        <v>2367</v>
      </c>
      <c r="O16" s="491" t="s">
        <v>2365</v>
      </c>
      <c r="Q16" s="508" t="s">
        <v>2368</v>
      </c>
      <c r="R16" s="492">
        <v>570</v>
      </c>
    </row>
    <row r="17" spans="2:18">
      <c r="B17" s="494"/>
      <c r="C17" s="502" t="s">
        <v>2370</v>
      </c>
      <c r="D17" s="496" t="s">
        <v>2371</v>
      </c>
      <c r="E17" s="510" t="s">
        <v>518</v>
      </c>
      <c r="G17" s="508" t="s">
        <v>2368</v>
      </c>
      <c r="H17" s="492">
        <v>570</v>
      </c>
      <c r="L17" s="494"/>
      <c r="M17" s="495"/>
      <c r="N17" s="509" t="s">
        <v>2369</v>
      </c>
      <c r="O17" s="491" t="s">
        <v>2365</v>
      </c>
      <c r="Q17" s="492" t="s">
        <v>2182</v>
      </c>
      <c r="R17" s="492">
        <v>559</v>
      </c>
    </row>
    <row r="18" spans="2:18">
      <c r="B18" s="494"/>
      <c r="C18" s="502" t="s">
        <v>2370</v>
      </c>
      <c r="D18" s="496" t="s">
        <v>2372</v>
      </c>
      <c r="E18" s="491" t="s">
        <v>518</v>
      </c>
      <c r="G18" s="492" t="s">
        <v>952</v>
      </c>
      <c r="H18" s="501">
        <v>548</v>
      </c>
      <c r="L18" s="494"/>
      <c r="M18" s="502" t="s">
        <v>2370</v>
      </c>
      <c r="N18" s="497" t="s">
        <v>2371</v>
      </c>
      <c r="O18" s="504" t="s">
        <v>518</v>
      </c>
      <c r="Q18" s="492"/>
      <c r="R18" s="492"/>
    </row>
    <row r="19" spans="2:18">
      <c r="B19" s="494"/>
      <c r="C19" s="511" t="s">
        <v>2373</v>
      </c>
      <c r="D19" s="496" t="s">
        <v>2374</v>
      </c>
      <c r="E19" s="491" t="s">
        <v>2373</v>
      </c>
      <c r="G19" s="492" t="s">
        <v>954</v>
      </c>
      <c r="H19" s="501">
        <v>548</v>
      </c>
      <c r="L19" s="494"/>
      <c r="M19" s="502"/>
      <c r="N19" s="497" t="s">
        <v>2372</v>
      </c>
      <c r="O19" s="491" t="s">
        <v>2375</v>
      </c>
      <c r="Q19" s="492"/>
      <c r="R19" s="492"/>
    </row>
    <row r="20" spans="2:18">
      <c r="B20" s="494"/>
      <c r="C20" s="511" t="s">
        <v>2376</v>
      </c>
      <c r="D20" s="496" t="s">
        <v>2377</v>
      </c>
      <c r="E20" s="491" t="s">
        <v>2365</v>
      </c>
      <c r="G20" s="492" t="s">
        <v>2084</v>
      </c>
      <c r="H20" s="501">
        <v>547</v>
      </c>
      <c r="L20" s="494"/>
      <c r="M20" s="511" t="s">
        <v>2373</v>
      </c>
      <c r="N20" s="509" t="s">
        <v>2374</v>
      </c>
      <c r="O20" s="491" t="s">
        <v>2373</v>
      </c>
      <c r="Q20" s="492"/>
      <c r="R20" s="492"/>
    </row>
    <row r="21" spans="2:18">
      <c r="B21" s="494"/>
      <c r="C21" s="511" t="s">
        <v>2378</v>
      </c>
      <c r="D21" s="496"/>
      <c r="E21" s="491" t="s">
        <v>2378</v>
      </c>
      <c r="G21" s="492"/>
      <c r="H21" s="501"/>
      <c r="L21" s="494"/>
      <c r="M21" s="511" t="s">
        <v>2376</v>
      </c>
      <c r="N21" s="509" t="s">
        <v>2377</v>
      </c>
      <c r="O21" s="491" t="s">
        <v>2365</v>
      </c>
      <c r="Q21" s="492"/>
      <c r="R21" s="492"/>
    </row>
    <row r="22" spans="2:18">
      <c r="B22" s="494"/>
      <c r="C22" s="511" t="s">
        <v>2379</v>
      </c>
      <c r="D22" s="496" t="s">
        <v>2380</v>
      </c>
      <c r="E22" s="491" t="s">
        <v>2381</v>
      </c>
      <c r="G22" s="512"/>
      <c r="H22" s="512"/>
      <c r="L22" s="494"/>
      <c r="M22" s="511" t="s">
        <v>2382</v>
      </c>
      <c r="N22" s="496" t="s">
        <v>2380</v>
      </c>
      <c r="O22" s="491" t="s">
        <v>2381</v>
      </c>
      <c r="Q22" s="512"/>
      <c r="R22" s="512"/>
    </row>
    <row r="23" spans="2:18">
      <c r="B23" s="494"/>
      <c r="C23" s="511" t="s">
        <v>2383</v>
      </c>
      <c r="D23" s="496" t="s">
        <v>2384</v>
      </c>
      <c r="E23" s="491" t="s">
        <v>2383</v>
      </c>
      <c r="L23" s="494"/>
      <c r="M23" s="511" t="s">
        <v>2378</v>
      </c>
      <c r="N23" s="509"/>
      <c r="O23" s="491" t="s">
        <v>2378</v>
      </c>
    </row>
    <row r="24" spans="2:18">
      <c r="B24" s="494"/>
      <c r="C24" s="511" t="s">
        <v>2385</v>
      </c>
      <c r="D24" s="496" t="s">
        <v>2386</v>
      </c>
      <c r="E24" s="491" t="s">
        <v>2385</v>
      </c>
      <c r="L24" s="494"/>
      <c r="M24" s="511" t="s">
        <v>2383</v>
      </c>
      <c r="N24" s="509" t="s">
        <v>2384</v>
      </c>
      <c r="O24" s="491" t="s">
        <v>2383</v>
      </c>
    </row>
    <row r="25" spans="2:18">
      <c r="B25" s="494"/>
      <c r="C25" s="511" t="s">
        <v>2387</v>
      </c>
      <c r="D25" s="496" t="s">
        <v>2388</v>
      </c>
      <c r="E25" s="491" t="s">
        <v>2389</v>
      </c>
      <c r="L25" s="494"/>
      <c r="M25" s="511" t="s">
        <v>2385</v>
      </c>
      <c r="N25" s="497" t="s">
        <v>2386</v>
      </c>
      <c r="O25" s="491" t="s">
        <v>2385</v>
      </c>
    </row>
    <row r="26" spans="2:18">
      <c r="B26" s="494"/>
      <c r="C26" s="511"/>
      <c r="D26" s="496" t="s">
        <v>2390</v>
      </c>
      <c r="E26" s="491" t="s">
        <v>2391</v>
      </c>
      <c r="L26" s="494"/>
      <c r="M26" s="511"/>
      <c r="N26" s="497"/>
      <c r="O26" s="491"/>
    </row>
    <row r="27" spans="2:18">
      <c r="B27" s="494"/>
      <c r="C27" s="511" t="s">
        <v>2392</v>
      </c>
      <c r="D27" s="496" t="s">
        <v>2393</v>
      </c>
      <c r="E27" s="491" t="s">
        <v>2392</v>
      </c>
      <c r="L27" s="494"/>
      <c r="M27" s="511" t="s">
        <v>2387</v>
      </c>
      <c r="N27" s="497" t="s">
        <v>2388</v>
      </c>
      <c r="O27" s="491" t="s">
        <v>2389</v>
      </c>
    </row>
    <row r="28" spans="2:18">
      <c r="B28" s="494"/>
      <c r="C28" s="511" t="s">
        <v>2085</v>
      </c>
      <c r="D28" s="496" t="s">
        <v>2473</v>
      </c>
      <c r="E28" s="491" t="s">
        <v>788</v>
      </c>
      <c r="L28" s="494"/>
      <c r="M28" s="511"/>
      <c r="N28" s="497" t="s">
        <v>2390</v>
      </c>
      <c r="O28" s="491" t="s">
        <v>2391</v>
      </c>
    </row>
    <row r="29" spans="2:18">
      <c r="B29" s="494"/>
      <c r="C29" s="511" t="s">
        <v>953</v>
      </c>
      <c r="D29" s="496" t="s">
        <v>2472</v>
      </c>
      <c r="E29" s="491" t="s">
        <v>506</v>
      </c>
      <c r="L29" s="494"/>
      <c r="M29" s="511" t="s">
        <v>2392</v>
      </c>
      <c r="N29" s="497" t="s">
        <v>2393</v>
      </c>
      <c r="O29" s="491" t="s">
        <v>2392</v>
      </c>
    </row>
    <row r="30" spans="2:18">
      <c r="B30" s="494"/>
      <c r="C30" s="511" t="s">
        <v>2080</v>
      </c>
      <c r="D30" s="496" t="s">
        <v>2471</v>
      </c>
      <c r="E30" s="491" t="s">
        <v>509</v>
      </c>
      <c r="L30" s="494"/>
      <c r="M30" s="511" t="s">
        <v>2394</v>
      </c>
      <c r="N30" s="497" t="s">
        <v>2395</v>
      </c>
      <c r="O30" s="491" t="s">
        <v>2375</v>
      </c>
    </row>
    <row r="31" spans="2:18">
      <c r="B31" s="494"/>
      <c r="C31" s="511" t="s">
        <v>2394</v>
      </c>
      <c r="D31" s="496" t="s">
        <v>2395</v>
      </c>
      <c r="E31" s="491" t="s">
        <v>2375</v>
      </c>
      <c r="L31" s="494"/>
      <c r="M31" s="491" t="s">
        <v>2396</v>
      </c>
      <c r="N31" s="496" t="s">
        <v>2397</v>
      </c>
      <c r="O31" s="491" t="s">
        <v>2398</v>
      </c>
    </row>
    <row r="32" spans="2:18">
      <c r="B32" s="494"/>
      <c r="C32" s="491" t="s">
        <v>2396</v>
      </c>
      <c r="D32" s="496" t="s">
        <v>2397</v>
      </c>
      <c r="E32" s="491" t="s">
        <v>2398</v>
      </c>
      <c r="L32" s="494"/>
      <c r="M32" s="511"/>
      <c r="N32" s="497"/>
      <c r="O32" s="491"/>
    </row>
    <row r="33" spans="2:15">
      <c r="B33" s="494"/>
      <c r="C33" s="511" t="s">
        <v>2394</v>
      </c>
      <c r="D33" s="513" t="s">
        <v>2399</v>
      </c>
      <c r="E33" s="491" t="s">
        <v>2400</v>
      </c>
      <c r="L33" s="494"/>
      <c r="M33" s="491" t="s">
        <v>2183</v>
      </c>
      <c r="N33" s="496" t="s">
        <v>2474</v>
      </c>
      <c r="O33" s="491" t="s">
        <v>506</v>
      </c>
    </row>
    <row r="34" spans="2:15">
      <c r="B34" s="494"/>
      <c r="C34" s="511" t="s">
        <v>2401</v>
      </c>
      <c r="D34" s="496" t="s">
        <v>2402</v>
      </c>
      <c r="E34" s="491" t="s">
        <v>2403</v>
      </c>
      <c r="L34" s="494"/>
      <c r="M34" s="511" t="s">
        <v>2394</v>
      </c>
      <c r="N34" s="497" t="s">
        <v>2399</v>
      </c>
      <c r="O34" s="491" t="s">
        <v>2400</v>
      </c>
    </row>
    <row r="35" spans="2:15">
      <c r="B35" s="494"/>
      <c r="C35" s="495"/>
      <c r="D35" s="496" t="s">
        <v>2404</v>
      </c>
      <c r="E35" s="491" t="s">
        <v>2405</v>
      </c>
      <c r="L35" s="494"/>
      <c r="M35" s="511" t="s">
        <v>2401</v>
      </c>
      <c r="N35" s="509" t="s">
        <v>2402</v>
      </c>
      <c r="O35" s="491" t="s">
        <v>2403</v>
      </c>
    </row>
    <row r="36" spans="2:15">
      <c r="B36" s="494"/>
      <c r="C36" s="495"/>
      <c r="D36" s="513"/>
      <c r="E36" s="491" t="s">
        <v>2406</v>
      </c>
      <c r="L36" s="494"/>
      <c r="M36" s="495"/>
      <c r="N36" s="514" t="s">
        <v>2404</v>
      </c>
      <c r="O36" s="491" t="s">
        <v>2405</v>
      </c>
    </row>
    <row r="37" spans="2:15">
      <c r="B37" s="494"/>
      <c r="C37" s="495"/>
      <c r="D37" s="513"/>
      <c r="E37" s="491" t="s">
        <v>2407</v>
      </c>
      <c r="L37" s="494"/>
      <c r="M37" s="495"/>
      <c r="N37" s="497"/>
      <c r="O37" s="491" t="s">
        <v>2406</v>
      </c>
    </row>
    <row r="38" spans="2:15">
      <c r="B38" s="494"/>
      <c r="C38" s="495"/>
      <c r="D38" s="513"/>
      <c r="E38" s="491" t="s">
        <v>2408</v>
      </c>
      <c r="L38" s="494"/>
      <c r="M38" s="495"/>
      <c r="N38" s="497"/>
      <c r="O38" s="491" t="s">
        <v>2407</v>
      </c>
    </row>
    <row r="39" spans="2:15">
      <c r="B39" s="494"/>
      <c r="C39" s="495"/>
      <c r="D39" s="496" t="s">
        <v>2409</v>
      </c>
      <c r="E39" s="491" t="s">
        <v>2410</v>
      </c>
      <c r="L39" s="494"/>
      <c r="M39" s="495"/>
      <c r="N39" s="497"/>
      <c r="O39" s="491" t="s">
        <v>2408</v>
      </c>
    </row>
    <row r="40" spans="2:15">
      <c r="B40" s="494"/>
      <c r="C40" s="495"/>
      <c r="D40" s="496" t="s">
        <v>2411</v>
      </c>
      <c r="E40" s="491" t="s">
        <v>495</v>
      </c>
      <c r="L40" s="494"/>
      <c r="M40" s="495"/>
      <c r="N40" s="509" t="s">
        <v>2412</v>
      </c>
      <c r="O40" s="491" t="s">
        <v>2410</v>
      </c>
    </row>
    <row r="41" spans="2:15">
      <c r="B41" s="494"/>
      <c r="C41" s="495"/>
      <c r="D41" s="496" t="s">
        <v>2413</v>
      </c>
      <c r="E41" s="515" t="s">
        <v>2414</v>
      </c>
      <c r="L41" s="494"/>
      <c r="M41" s="495"/>
      <c r="N41" s="509" t="s">
        <v>2411</v>
      </c>
      <c r="O41" s="491" t="s">
        <v>495</v>
      </c>
    </row>
    <row r="42" spans="2:15">
      <c r="B42" s="494"/>
      <c r="C42" s="495"/>
      <c r="D42" s="513"/>
      <c r="E42" s="515" t="s">
        <v>2415</v>
      </c>
      <c r="L42" s="494"/>
      <c r="M42" s="495"/>
      <c r="N42" s="509" t="s">
        <v>2413</v>
      </c>
      <c r="O42" s="515" t="s">
        <v>2414</v>
      </c>
    </row>
    <row r="43" spans="2:15">
      <c r="B43" s="494"/>
      <c r="C43" s="495"/>
      <c r="D43" s="496" t="s">
        <v>2416</v>
      </c>
      <c r="E43" s="516">
        <v>0</v>
      </c>
      <c r="L43" s="494"/>
      <c r="M43" s="495"/>
      <c r="N43" s="497"/>
      <c r="O43" s="515" t="s">
        <v>2415</v>
      </c>
    </row>
    <row r="44" spans="2:15">
      <c r="B44" s="494"/>
      <c r="C44" s="495"/>
      <c r="D44" s="496" t="s">
        <v>2417</v>
      </c>
      <c r="E44" s="516">
        <v>0</v>
      </c>
      <c r="L44" s="494"/>
      <c r="M44" s="495"/>
      <c r="N44" s="509" t="s">
        <v>2416</v>
      </c>
      <c r="O44" s="516">
        <v>0</v>
      </c>
    </row>
    <row r="45" spans="2:15">
      <c r="B45" s="494"/>
      <c r="C45" s="495"/>
      <c r="D45" s="496" t="s">
        <v>2418</v>
      </c>
      <c r="E45" s="516">
        <v>0</v>
      </c>
      <c r="L45" s="494"/>
      <c r="M45" s="495"/>
      <c r="N45" s="509" t="s">
        <v>2417</v>
      </c>
      <c r="O45" s="516">
        <v>0</v>
      </c>
    </row>
    <row r="46" spans="2:15">
      <c r="B46" s="494"/>
      <c r="C46" s="495"/>
      <c r="D46" s="496" t="s">
        <v>2419</v>
      </c>
      <c r="E46" s="516">
        <v>0</v>
      </c>
      <c r="L46" s="494"/>
      <c r="M46" s="495"/>
      <c r="N46" s="509" t="s">
        <v>2418</v>
      </c>
      <c r="O46" s="516">
        <v>0</v>
      </c>
    </row>
    <row r="47" spans="2:15">
      <c r="B47" s="494"/>
      <c r="C47" s="495"/>
      <c r="D47" s="496" t="s">
        <v>2420</v>
      </c>
      <c r="E47" s="516">
        <v>0</v>
      </c>
      <c r="L47" s="494"/>
      <c r="M47" s="495"/>
      <c r="N47" s="509" t="s">
        <v>2419</v>
      </c>
      <c r="O47" s="516">
        <v>0</v>
      </c>
    </row>
    <row r="48" spans="2:15">
      <c r="B48" s="494"/>
      <c r="C48" s="495"/>
      <c r="D48" s="496" t="s">
        <v>2421</v>
      </c>
      <c r="E48" s="516">
        <v>0</v>
      </c>
      <c r="L48" s="494"/>
      <c r="M48" s="495"/>
      <c r="N48" s="509" t="s">
        <v>2420</v>
      </c>
      <c r="O48" s="516">
        <v>0</v>
      </c>
    </row>
    <row r="49" spans="2:15">
      <c r="B49" s="494"/>
      <c r="C49" s="495"/>
      <c r="D49" s="496" t="s">
        <v>2422</v>
      </c>
      <c r="E49" s="516">
        <v>0</v>
      </c>
      <c r="L49" s="494"/>
      <c r="M49" s="495"/>
      <c r="N49" s="509" t="s">
        <v>2421</v>
      </c>
      <c r="O49" s="516">
        <v>0</v>
      </c>
    </row>
    <row r="50" spans="2:15">
      <c r="B50" s="494"/>
      <c r="C50" s="495"/>
      <c r="D50" s="517" t="s">
        <v>844</v>
      </c>
      <c r="E50" s="516">
        <v>0</v>
      </c>
      <c r="L50" s="494"/>
      <c r="M50" s="495"/>
      <c r="N50" s="509" t="s">
        <v>2422</v>
      </c>
      <c r="O50" s="516">
        <v>0</v>
      </c>
    </row>
    <row r="51" spans="2:15">
      <c r="B51" s="518" t="s">
        <v>840</v>
      </c>
      <c r="C51" s="519"/>
      <c r="D51" s="520" t="s">
        <v>2423</v>
      </c>
      <c r="E51" s="521" t="s">
        <v>2424</v>
      </c>
      <c r="L51" s="494"/>
      <c r="M51" s="495"/>
      <c r="N51" s="522" t="s">
        <v>844</v>
      </c>
      <c r="O51" s="516">
        <v>0</v>
      </c>
    </row>
    <row r="52" spans="2:15">
      <c r="B52" s="518"/>
      <c r="C52" s="519"/>
      <c r="D52" s="520" t="s">
        <v>2425</v>
      </c>
      <c r="E52" s="521" t="s">
        <v>2424</v>
      </c>
      <c r="L52" s="518" t="s">
        <v>840</v>
      </c>
      <c r="M52" s="519"/>
      <c r="N52" s="523" t="s">
        <v>2423</v>
      </c>
      <c r="O52" s="521" t="s">
        <v>2424</v>
      </c>
    </row>
    <row r="53" spans="2:15">
      <c r="B53" s="518"/>
      <c r="C53" s="519"/>
      <c r="D53" s="520" t="s">
        <v>2426</v>
      </c>
      <c r="E53" s="521" t="s">
        <v>2424</v>
      </c>
      <c r="L53" s="518"/>
      <c r="M53" s="519"/>
      <c r="N53" s="523" t="s">
        <v>2425</v>
      </c>
      <c r="O53" s="521" t="s">
        <v>2424</v>
      </c>
    </row>
    <row r="54" spans="2:15">
      <c r="B54" s="518"/>
      <c r="C54" s="519"/>
      <c r="D54" s="520" t="s">
        <v>2427</v>
      </c>
      <c r="E54" s="521" t="s">
        <v>2424</v>
      </c>
      <c r="L54" s="518"/>
      <c r="M54" s="519"/>
      <c r="N54" s="523" t="s">
        <v>2426</v>
      </c>
      <c r="O54" s="521" t="s">
        <v>2424</v>
      </c>
    </row>
    <row r="55" spans="2:15">
      <c r="B55" s="518"/>
      <c r="C55" s="519"/>
      <c r="D55" s="520" t="s">
        <v>2428</v>
      </c>
      <c r="E55" s="521" t="s">
        <v>2424</v>
      </c>
      <c r="L55" s="518"/>
      <c r="M55" s="519"/>
      <c r="N55" s="523" t="s">
        <v>2427</v>
      </c>
      <c r="O55" s="521" t="s">
        <v>2424</v>
      </c>
    </row>
    <row r="56" spans="2:15">
      <c r="B56" s="518"/>
      <c r="C56" s="519"/>
      <c r="D56" s="520" t="s">
        <v>2429</v>
      </c>
      <c r="E56" s="521" t="s">
        <v>2424</v>
      </c>
      <c r="L56" s="518"/>
      <c r="M56" s="519"/>
      <c r="N56" s="523" t="s">
        <v>2428</v>
      </c>
      <c r="O56" s="521" t="s">
        <v>2424</v>
      </c>
    </row>
    <row r="57" spans="2:15">
      <c r="B57" s="518"/>
      <c r="C57" s="519"/>
      <c r="D57" s="520" t="s">
        <v>2430</v>
      </c>
      <c r="E57" s="521" t="s">
        <v>2431</v>
      </c>
      <c r="L57" s="518"/>
      <c r="M57" s="519"/>
      <c r="N57" s="523" t="s">
        <v>2429</v>
      </c>
      <c r="O57" s="521" t="s">
        <v>2424</v>
      </c>
    </row>
    <row r="58" spans="2:15">
      <c r="B58" s="518"/>
      <c r="C58" s="519"/>
      <c r="D58" s="520" t="s">
        <v>2432</v>
      </c>
      <c r="E58" s="521" t="s">
        <v>2433</v>
      </c>
      <c r="L58" s="518"/>
      <c r="M58" s="519"/>
      <c r="N58" s="523" t="s">
        <v>2430</v>
      </c>
      <c r="O58" s="521" t="s">
        <v>2431</v>
      </c>
    </row>
    <row r="59" spans="2:15">
      <c r="B59" s="518"/>
      <c r="C59" s="519"/>
      <c r="D59" s="520" t="s">
        <v>2434</v>
      </c>
      <c r="E59" s="521" t="s">
        <v>2433</v>
      </c>
      <c r="L59" s="518"/>
      <c r="M59" s="519"/>
      <c r="N59" s="523" t="s">
        <v>2432</v>
      </c>
      <c r="O59" s="521" t="s">
        <v>2433</v>
      </c>
    </row>
    <row r="60" spans="2:15">
      <c r="B60" s="518"/>
      <c r="C60" s="519"/>
      <c r="D60" s="520" t="s">
        <v>2435</v>
      </c>
      <c r="E60" s="521" t="s">
        <v>204</v>
      </c>
      <c r="L60" s="518"/>
      <c r="M60" s="519"/>
      <c r="N60" s="523" t="s">
        <v>2434</v>
      </c>
      <c r="O60" s="521" t="s">
        <v>2433</v>
      </c>
    </row>
    <row r="61" spans="2:15">
      <c r="B61" s="518"/>
      <c r="C61" s="519"/>
      <c r="D61" s="520" t="s">
        <v>2436</v>
      </c>
      <c r="E61" s="521" t="s">
        <v>2437</v>
      </c>
      <c r="L61" s="518"/>
      <c r="M61" s="519"/>
      <c r="N61" s="523" t="s">
        <v>2435</v>
      </c>
      <c r="O61" s="521" t="s">
        <v>204</v>
      </c>
    </row>
    <row r="62" spans="2:15">
      <c r="B62" s="518"/>
      <c r="C62" s="519"/>
      <c r="D62" s="520" t="s">
        <v>2438</v>
      </c>
      <c r="E62" s="521" t="s">
        <v>2439</v>
      </c>
      <c r="L62" s="518"/>
      <c r="M62" s="519"/>
      <c r="N62" s="523" t="s">
        <v>2436</v>
      </c>
      <c r="O62" s="521" t="s">
        <v>2437</v>
      </c>
    </row>
    <row r="63" spans="2:15">
      <c r="B63" s="518"/>
      <c r="C63" s="519"/>
      <c r="D63" s="520" t="s">
        <v>2352</v>
      </c>
      <c r="E63" s="521" t="s">
        <v>2440</v>
      </c>
      <c r="L63" s="518"/>
      <c r="M63" s="519"/>
      <c r="N63" s="523" t="s">
        <v>2438</v>
      </c>
      <c r="O63" s="521" t="s">
        <v>2439</v>
      </c>
    </row>
    <row r="64" spans="2:15">
      <c r="B64" s="518"/>
      <c r="C64" s="519"/>
      <c r="D64" s="520" t="s">
        <v>2441</v>
      </c>
      <c r="E64" s="521" t="s">
        <v>2440</v>
      </c>
      <c r="L64" s="518"/>
      <c r="M64" s="519"/>
      <c r="N64" s="523" t="s">
        <v>2352</v>
      </c>
      <c r="O64" s="521"/>
    </row>
    <row r="65" spans="2:15">
      <c r="B65" s="518"/>
      <c r="C65" s="519"/>
      <c r="D65" s="520" t="s">
        <v>2442</v>
      </c>
      <c r="E65" s="521" t="s">
        <v>2433</v>
      </c>
      <c r="L65" s="518"/>
      <c r="M65" s="519"/>
      <c r="N65" s="523" t="s">
        <v>2441</v>
      </c>
      <c r="O65" s="521"/>
    </row>
    <row r="66" spans="2:15">
      <c r="B66" s="518"/>
      <c r="C66" s="519"/>
      <c r="D66" s="520" t="s">
        <v>2443</v>
      </c>
      <c r="E66" s="521" t="s">
        <v>204</v>
      </c>
      <c r="L66" s="518"/>
      <c r="M66" s="519"/>
      <c r="N66" s="523" t="s">
        <v>2442</v>
      </c>
      <c r="O66" s="521" t="s">
        <v>2433</v>
      </c>
    </row>
    <row r="67" spans="2:15">
      <c r="B67" s="518"/>
      <c r="C67" s="519"/>
      <c r="D67" s="520" t="s">
        <v>2444</v>
      </c>
      <c r="E67" s="521" t="s">
        <v>2445</v>
      </c>
      <c r="L67" s="518"/>
      <c r="M67" s="519"/>
      <c r="N67" s="523" t="s">
        <v>2443</v>
      </c>
      <c r="O67" s="521" t="s">
        <v>204</v>
      </c>
    </row>
    <row r="68" spans="2:15">
      <c r="B68" s="518"/>
      <c r="C68" s="519"/>
      <c r="D68" s="520" t="s">
        <v>2446</v>
      </c>
      <c r="E68" s="521" t="s">
        <v>2445</v>
      </c>
      <c r="L68" s="518"/>
      <c r="M68" s="519"/>
      <c r="N68" s="523" t="s">
        <v>2444</v>
      </c>
      <c r="O68" s="521" t="s">
        <v>2433</v>
      </c>
    </row>
    <row r="69" spans="2:15">
      <c r="B69" s="518"/>
      <c r="C69" s="519"/>
      <c r="D69" s="520" t="s">
        <v>2447</v>
      </c>
      <c r="E69" s="521" t="s">
        <v>2437</v>
      </c>
      <c r="L69" s="518"/>
      <c r="M69" s="519"/>
      <c r="N69" s="523" t="s">
        <v>2446</v>
      </c>
      <c r="O69" s="521" t="s">
        <v>2445</v>
      </c>
    </row>
    <row r="70" spans="2:15">
      <c r="B70" s="518"/>
      <c r="C70" s="519"/>
      <c r="D70" s="520" t="s">
        <v>2448</v>
      </c>
      <c r="E70" s="521" t="s">
        <v>2445</v>
      </c>
      <c r="L70" s="518"/>
      <c r="M70" s="519"/>
      <c r="N70" s="523" t="s">
        <v>2447</v>
      </c>
      <c r="O70" s="521" t="s">
        <v>2437</v>
      </c>
    </row>
    <row r="71" spans="2:15">
      <c r="B71" s="518"/>
      <c r="C71" s="519"/>
      <c r="D71" s="520" t="s">
        <v>2449</v>
      </c>
      <c r="E71" s="521" t="s">
        <v>2445</v>
      </c>
      <c r="L71" s="518"/>
      <c r="M71" s="519"/>
      <c r="N71" s="523" t="s">
        <v>2448</v>
      </c>
      <c r="O71" s="521" t="s">
        <v>2445</v>
      </c>
    </row>
    <row r="72" spans="2:15">
      <c r="B72" s="518"/>
      <c r="C72" s="519"/>
      <c r="D72" s="520" t="s">
        <v>2450</v>
      </c>
      <c r="E72" s="521" t="s">
        <v>368</v>
      </c>
      <c r="L72" s="518"/>
      <c r="M72" s="519"/>
      <c r="N72" s="523" t="s">
        <v>2449</v>
      </c>
      <c r="O72" s="521" t="s">
        <v>2445</v>
      </c>
    </row>
    <row r="73" spans="2:15">
      <c r="B73" s="518"/>
      <c r="C73" s="519"/>
      <c r="D73" s="520" t="s">
        <v>2349</v>
      </c>
      <c r="E73" s="521" t="s">
        <v>2451</v>
      </c>
      <c r="L73" s="518"/>
      <c r="M73" s="519"/>
      <c r="N73" s="523" t="s">
        <v>2450</v>
      </c>
      <c r="O73" s="521" t="s">
        <v>368</v>
      </c>
    </row>
    <row r="74" spans="2:15">
      <c r="B74" s="518"/>
      <c r="C74" s="519"/>
      <c r="D74" s="520" t="s">
        <v>2452</v>
      </c>
      <c r="E74" s="521" t="s">
        <v>2424</v>
      </c>
      <c r="L74" s="518"/>
      <c r="M74" s="519"/>
      <c r="N74" s="523" t="s">
        <v>2349</v>
      </c>
      <c r="O74" s="521" t="s">
        <v>2451</v>
      </c>
    </row>
    <row r="75" spans="2:15">
      <c r="B75" s="518"/>
      <c r="C75" s="519"/>
      <c r="D75" s="520" t="s">
        <v>2453</v>
      </c>
      <c r="E75" s="521" t="s">
        <v>2424</v>
      </c>
      <c r="L75" s="518"/>
      <c r="M75" s="519"/>
      <c r="N75" s="523" t="s">
        <v>2452</v>
      </c>
      <c r="O75" s="521" t="s">
        <v>2424</v>
      </c>
    </row>
    <row r="76" spans="2:15">
      <c r="B76" s="518"/>
      <c r="C76" s="519"/>
      <c r="D76" s="520" t="s">
        <v>2454</v>
      </c>
      <c r="E76" s="521" t="s">
        <v>2455</v>
      </c>
      <c r="L76" s="518"/>
      <c r="M76" s="519"/>
      <c r="N76" s="523" t="s">
        <v>2453</v>
      </c>
      <c r="O76" s="521" t="s">
        <v>2424</v>
      </c>
    </row>
    <row r="77" spans="2:15">
      <c r="B77" s="518"/>
      <c r="C77" s="519"/>
      <c r="D77" s="520" t="s">
        <v>2456</v>
      </c>
      <c r="E77" s="521" t="s">
        <v>2457</v>
      </c>
      <c r="L77" s="518"/>
      <c r="M77" s="519"/>
      <c r="N77" s="523" t="s">
        <v>2454</v>
      </c>
      <c r="O77" s="521" t="s">
        <v>2455</v>
      </c>
    </row>
    <row r="78" spans="2:15">
      <c r="B78" s="518"/>
      <c r="C78" s="519"/>
      <c r="D78" s="520" t="s">
        <v>2458</v>
      </c>
      <c r="E78" s="521" t="s">
        <v>2459</v>
      </c>
      <c r="L78" s="518"/>
      <c r="M78" s="519"/>
      <c r="N78" s="523" t="s">
        <v>2456</v>
      </c>
      <c r="O78" s="521" t="s">
        <v>2457</v>
      </c>
    </row>
    <row r="79" spans="2:15">
      <c r="B79" s="518"/>
      <c r="C79" s="519"/>
      <c r="D79" s="520" t="s">
        <v>2460</v>
      </c>
      <c r="E79" s="521" t="s">
        <v>2459</v>
      </c>
      <c r="L79" s="518"/>
      <c r="M79" s="519"/>
      <c r="N79" s="523" t="s">
        <v>2458</v>
      </c>
      <c r="O79" s="521" t="s">
        <v>2459</v>
      </c>
    </row>
    <row r="80" spans="2:15">
      <c r="B80" s="518"/>
      <c r="C80" s="519"/>
      <c r="D80" s="520" t="s">
        <v>2461</v>
      </c>
      <c r="E80" s="524" t="s">
        <v>2462</v>
      </c>
      <c r="L80" s="518"/>
      <c r="M80" s="519"/>
      <c r="N80" s="523" t="s">
        <v>2460</v>
      </c>
      <c r="O80" s="521" t="s">
        <v>2459</v>
      </c>
    </row>
    <row r="81" spans="2:15">
      <c r="B81" s="518"/>
      <c r="C81" s="519"/>
      <c r="D81" s="520" t="s">
        <v>2360</v>
      </c>
      <c r="E81" s="521" t="s">
        <v>2463</v>
      </c>
      <c r="L81" s="518"/>
      <c r="M81" s="519"/>
      <c r="N81" s="523" t="s">
        <v>2461</v>
      </c>
      <c r="O81" s="524" t="s">
        <v>2462</v>
      </c>
    </row>
    <row r="82" spans="2:15">
      <c r="B82" s="518"/>
      <c r="C82" s="519"/>
      <c r="D82" s="520" t="s">
        <v>2464</v>
      </c>
      <c r="E82" s="521" t="s">
        <v>2433</v>
      </c>
      <c r="L82" s="518"/>
      <c r="M82" s="519"/>
      <c r="N82" s="523" t="s">
        <v>2360</v>
      </c>
      <c r="O82" s="521" t="s">
        <v>2463</v>
      </c>
    </row>
    <row r="83" spans="2:15">
      <c r="B83" s="518"/>
      <c r="C83" s="519"/>
      <c r="D83" s="520" t="s">
        <v>2342</v>
      </c>
      <c r="E83" s="521" t="s">
        <v>2465</v>
      </c>
      <c r="L83" s="518"/>
      <c r="M83" s="519"/>
      <c r="N83" s="523" t="s">
        <v>2342</v>
      </c>
      <c r="O83" s="521" t="s">
        <v>2466</v>
      </c>
    </row>
    <row r="84" spans="2:15">
      <c r="B84" s="518"/>
      <c r="C84" s="519"/>
      <c r="D84" s="520"/>
      <c r="E84" s="521"/>
      <c r="L84" s="518"/>
      <c r="M84" s="519"/>
      <c r="N84" s="523" t="s">
        <v>2467</v>
      </c>
      <c r="O84" s="521" t="s">
        <v>2468</v>
      </c>
    </row>
    <row r="85" spans="2:15">
      <c r="B85" s="518"/>
      <c r="C85" s="519"/>
      <c r="D85" s="520"/>
      <c r="E85" s="521"/>
      <c r="L85" s="518"/>
      <c r="M85" s="519"/>
      <c r="N85" s="523"/>
      <c r="O85" s="521"/>
    </row>
    <row r="86" spans="2:15">
      <c r="B86" s="518"/>
      <c r="C86" s="519"/>
      <c r="D86" s="520"/>
      <c r="E86" s="521"/>
      <c r="L86" s="518"/>
      <c r="M86" s="519"/>
      <c r="N86" s="523"/>
      <c r="O86" s="521"/>
    </row>
    <row r="87" spans="2:15">
      <c r="B87" s="518"/>
      <c r="C87" s="519"/>
      <c r="D87" s="525"/>
      <c r="E87" s="521"/>
      <c r="L87" s="518"/>
      <c r="M87" s="519"/>
      <c r="N87" s="526"/>
      <c r="O87" s="521"/>
    </row>
    <row r="88" spans="2:15" ht="13.5" thickBot="1">
      <c r="B88" s="527"/>
      <c r="C88" s="528"/>
      <c r="D88" s="529"/>
      <c r="E88" s="530"/>
      <c r="L88" s="527"/>
      <c r="M88" s="528"/>
      <c r="N88" s="528"/>
      <c r="O88" s="530"/>
    </row>
    <row r="91" spans="2:15">
      <c r="D91" s="531"/>
      <c r="E91" s="121"/>
    </row>
    <row r="92" spans="2:15">
      <c r="D92" s="532"/>
      <c r="E92" s="121"/>
    </row>
    <row r="93" spans="2:15">
      <c r="D93" s="532"/>
      <c r="E93" s="121"/>
    </row>
    <row r="94" spans="2:15">
      <c r="D94" s="532"/>
      <c r="E94" s="121"/>
    </row>
    <row r="95" spans="2:15">
      <c r="D95" s="532"/>
      <c r="E95" s="121"/>
    </row>
    <row r="96" spans="2:15">
      <c r="D96" s="532"/>
      <c r="E96" s="121"/>
    </row>
    <row r="97" spans="4:5">
      <c r="D97" s="532"/>
      <c r="E97" s="121"/>
    </row>
    <row r="98" spans="4:5">
      <c r="D98" s="532"/>
      <c r="E98" s="121"/>
    </row>
    <row r="99" spans="4:5">
      <c r="D99" s="532"/>
      <c r="E99" s="121"/>
    </row>
    <row r="100" spans="4:5">
      <c r="D100" s="532"/>
      <c r="E100" s="121"/>
    </row>
    <row r="101" spans="4:5">
      <c r="D101" s="532"/>
      <c r="E101" s="121"/>
    </row>
    <row r="216" spans="4:4" s="533" customFormat="1">
      <c r="D216" s="534"/>
    </row>
  </sheetData>
  <conditionalFormatting sqref="G17:H17 Q3:R22">
    <cfRule type="expression" dxfId="1" priority="1" stopIfTrue="1">
      <formula>OR(#REF!="10009000000000",#REF!="18005303001100",#REF!="18005303001200",#REF!="80002051200000",#REF!="80002121600000",#REF!="80002121700000",#REF!="80002121800000",#REF!="80002121900000",#REF!="80002131101000",#REF!="80002131201000")</formula>
    </cfRule>
    <cfRule type="expression" dxfId="0" priority="2" stopIfTrue="1">
      <formula>OR(#REF!="80003050000000",#REF!="80001001301000",#REF!="800010015010000",#REF!="80001021000000",#REF!="80001021100000",#REF!="80001021200000",#REF!="80001031000000")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B2:P31"/>
  <sheetViews>
    <sheetView view="pageLayout" zoomScaleNormal="100" workbookViewId="0"/>
  </sheetViews>
  <sheetFormatPr defaultRowHeight="12.75"/>
  <cols>
    <col min="2" max="2" width="23.42578125" bestFit="1" customWidth="1"/>
    <col min="13" max="13" width="10.7109375" bestFit="1" customWidth="1"/>
  </cols>
  <sheetData>
    <row r="2" spans="2:16">
      <c r="C2" t="s">
        <v>772</v>
      </c>
      <c r="D2" t="s">
        <v>773</v>
      </c>
      <c r="E2" t="s">
        <v>783</v>
      </c>
      <c r="F2" s="445" t="s">
        <v>819</v>
      </c>
      <c r="G2" s="541"/>
    </row>
    <row r="3" spans="2:16">
      <c r="C3" t="s">
        <v>413</v>
      </c>
      <c r="D3" t="s">
        <v>413</v>
      </c>
      <c r="E3" t="s">
        <v>413</v>
      </c>
      <c r="F3" t="s">
        <v>413</v>
      </c>
      <c r="G3" s="541"/>
    </row>
    <row r="5" spans="2:16">
      <c r="B5" t="s">
        <v>421</v>
      </c>
      <c r="C5" s="26">
        <f>SUM(H15:J15)/1000</f>
        <v>230.04599999999999</v>
      </c>
      <c r="D5" s="26">
        <f>SUM(H15:M15)/1000</f>
        <v>428.25099999999998</v>
      </c>
      <c r="E5" s="26">
        <f>SUM(H15:P15)/1000</f>
        <v>663.23599999999999</v>
      </c>
      <c r="F5" s="26"/>
      <c r="G5" s="26"/>
      <c r="H5" s="26"/>
      <c r="I5" s="26"/>
      <c r="J5" s="26"/>
      <c r="K5" s="26"/>
      <c r="L5" s="26"/>
    </row>
    <row r="6" spans="2:16">
      <c r="B6" t="s">
        <v>416</v>
      </c>
    </row>
    <row r="7" spans="2:16">
      <c r="B7" t="s">
        <v>422</v>
      </c>
      <c r="C7" s="26"/>
    </row>
    <row r="8" spans="2:16">
      <c r="B8" t="s">
        <v>728</v>
      </c>
      <c r="C8" s="26">
        <f>SUM(H16:J16)/1000</f>
        <v>646.21500000000003</v>
      </c>
      <c r="D8" s="26">
        <f>SUM(H16:M16)/1000</f>
        <v>1058.287</v>
      </c>
      <c r="E8" s="26">
        <f>SUM(H16:P16)/1000</f>
        <v>1595.3689999999999</v>
      </c>
      <c r="F8" s="26"/>
      <c r="G8" s="26"/>
      <c r="H8" s="26"/>
      <c r="I8" s="26"/>
      <c r="J8" s="26"/>
      <c r="K8" s="26"/>
      <c r="L8" s="26"/>
    </row>
    <row r="9" spans="2:16">
      <c r="B9" t="s">
        <v>418</v>
      </c>
      <c r="C9" s="244"/>
      <c r="D9" s="26"/>
      <c r="E9" s="26"/>
      <c r="F9" s="26"/>
      <c r="G9" s="26"/>
      <c r="H9" s="26"/>
      <c r="I9" s="26"/>
      <c r="J9" s="26"/>
      <c r="K9" s="26"/>
      <c r="L9" s="26"/>
    </row>
    <row r="10" spans="2:16">
      <c r="B10" t="s">
        <v>419</v>
      </c>
      <c r="C10" s="26">
        <f>SUM($H$17:J29)/1000</f>
        <v>1159.817</v>
      </c>
      <c r="D10" s="26">
        <f>SUM($H$17:M29)/1000</f>
        <v>2507.5189999999998</v>
      </c>
      <c r="E10" s="26">
        <f>SUM($H$17:P29)/1000</f>
        <v>3617.7579999999998</v>
      </c>
      <c r="F10" s="26"/>
      <c r="G10" s="26"/>
      <c r="H10" s="26"/>
      <c r="I10" s="26"/>
      <c r="J10" s="26"/>
      <c r="K10" s="26"/>
      <c r="L10" s="26"/>
    </row>
    <row r="11" spans="2:16">
      <c r="C11" s="243">
        <f>SUM(C5:C10)</f>
        <v>2036.078</v>
      </c>
      <c r="D11" s="243">
        <f>SUM(D5:D10)</f>
        <v>3994.0569999999998</v>
      </c>
      <c r="E11" s="243">
        <f>SUM(E5:E10)</f>
        <v>5876.3629999999994</v>
      </c>
      <c r="F11" s="243">
        <f>SUM(F5:F10)</f>
        <v>0</v>
      </c>
      <c r="G11" s="244"/>
      <c r="H11" s="244"/>
      <c r="I11" s="244"/>
      <c r="J11" s="244"/>
      <c r="K11" s="244"/>
      <c r="L11" s="244"/>
    </row>
    <row r="13" spans="2:16">
      <c r="D13" s="539"/>
      <c r="E13" s="539"/>
      <c r="F13" s="539"/>
      <c r="G13" s="539"/>
      <c r="H13" s="539">
        <v>40269</v>
      </c>
      <c r="I13" s="539">
        <v>40299</v>
      </c>
      <c r="J13" s="539">
        <v>40330</v>
      </c>
      <c r="K13" s="539">
        <v>40360</v>
      </c>
      <c r="L13" s="539">
        <v>40391</v>
      </c>
      <c r="M13" s="539">
        <v>40422</v>
      </c>
      <c r="N13" s="539">
        <v>40452</v>
      </c>
      <c r="O13" s="539">
        <v>40483</v>
      </c>
      <c r="P13" s="539">
        <v>40513</v>
      </c>
    </row>
    <row r="14" spans="2:16">
      <c r="B14" s="540" t="s">
        <v>2476</v>
      </c>
      <c r="H14" s="541"/>
      <c r="I14" s="541"/>
      <c r="J14" s="541"/>
      <c r="K14" s="541"/>
      <c r="L14" s="541"/>
      <c r="M14" s="542" t="s">
        <v>2477</v>
      </c>
      <c r="N14" s="542" t="s">
        <v>2477</v>
      </c>
      <c r="O14" s="542" t="s">
        <v>2477</v>
      </c>
      <c r="P14" s="542" t="s">
        <v>2477</v>
      </c>
    </row>
    <row r="15" spans="2:16">
      <c r="B15" s="540" t="s">
        <v>421</v>
      </c>
      <c r="H15" s="543">
        <f>+[9]Freight!$D29</f>
        <v>55993</v>
      </c>
      <c r="I15" s="543">
        <f>+[10]Freight!$D29</f>
        <v>76916</v>
      </c>
      <c r="J15" s="543">
        <f>+[11]Freight!$D29</f>
        <v>97137</v>
      </c>
      <c r="K15" s="543">
        <f>+[12]Freight!$D29</f>
        <v>78324</v>
      </c>
      <c r="L15" s="543">
        <f>+[13]Freight!$D29</f>
        <v>43507</v>
      </c>
      <c r="M15" s="543">
        <f>+[14]Freight!$D29</f>
        <v>76374</v>
      </c>
      <c r="N15" s="543">
        <f>+[15]Freight!$D29</f>
        <v>87286</v>
      </c>
      <c r="O15" s="543">
        <f>+[16]Freight!$D29</f>
        <v>115906</v>
      </c>
      <c r="P15" s="543">
        <f>+[17]Freight!$D29</f>
        <v>31793</v>
      </c>
    </row>
    <row r="16" spans="2:16">
      <c r="B16" s="540" t="s">
        <v>2478</v>
      </c>
      <c r="C16" s="541"/>
      <c r="D16" s="541"/>
      <c r="E16" s="541"/>
      <c r="F16" s="541"/>
      <c r="G16" s="541"/>
      <c r="H16" s="543">
        <f>+[9]Freight!$D30</f>
        <v>232993</v>
      </c>
      <c r="I16" s="543">
        <f>+[10]Freight!$D30</f>
        <v>248966</v>
      </c>
      <c r="J16" s="543">
        <f>+[11]Freight!$D30</f>
        <v>164256</v>
      </c>
      <c r="K16" s="543">
        <f>+[12]Freight!$D30</f>
        <v>195388</v>
      </c>
      <c r="L16" s="543">
        <f>+[13]Freight!$D30</f>
        <v>98594</v>
      </c>
      <c r="M16" s="543">
        <f>+[14]Freight!$D30</f>
        <v>118090</v>
      </c>
      <c r="N16" s="543">
        <f>+[15]Freight!$D30</f>
        <v>157542</v>
      </c>
      <c r="O16" s="543">
        <f>+[16]Freight!$D30</f>
        <v>134822</v>
      </c>
      <c r="P16" s="543">
        <f>+[17]Freight!$D30</f>
        <v>244718</v>
      </c>
    </row>
    <row r="17" spans="2:16">
      <c r="B17" s="540" t="s">
        <v>2479</v>
      </c>
      <c r="C17" s="541"/>
      <c r="D17" s="541"/>
      <c r="E17" s="541"/>
      <c r="F17" s="541"/>
      <c r="G17" s="541"/>
      <c r="H17" s="543">
        <f>+[9]Freight!$D31</f>
        <v>336391</v>
      </c>
      <c r="I17" s="543">
        <f>+[10]Freight!$D31</f>
        <v>314482</v>
      </c>
      <c r="J17" s="543">
        <f>+[11]Freight!$D31</f>
        <v>267316</v>
      </c>
      <c r="K17" s="543">
        <f>+[12]Freight!$D31</f>
        <v>424288</v>
      </c>
      <c r="L17" s="543">
        <f>+[13]Freight!$D31</f>
        <v>409627</v>
      </c>
      <c r="M17" s="543">
        <f>+[14]Freight!$D31</f>
        <v>294627</v>
      </c>
      <c r="N17" s="543">
        <f>+[15]Freight!$D31</f>
        <v>305353</v>
      </c>
      <c r="O17" s="543">
        <f>+[16]Freight!$D31</f>
        <v>325033</v>
      </c>
      <c r="P17" s="543">
        <f>+[17]Freight!$D31</f>
        <v>257994</v>
      </c>
    </row>
    <row r="18" spans="2:16">
      <c r="B18" s="540" t="s">
        <v>2480</v>
      </c>
      <c r="C18" s="541"/>
      <c r="D18" s="541"/>
      <c r="E18" s="541"/>
      <c r="F18" s="541"/>
      <c r="G18" s="541"/>
      <c r="H18" s="543">
        <f>+[9]Freight!$D32</f>
        <v>507</v>
      </c>
      <c r="I18" s="543">
        <f>+[10]Freight!$D32</f>
        <v>0</v>
      </c>
      <c r="J18" s="543">
        <f>+[11]Freight!$D32</f>
        <v>0</v>
      </c>
      <c r="K18" s="543">
        <f>+[12]Freight!$D32</f>
        <v>4538</v>
      </c>
      <c r="L18" s="543">
        <f>+[13]Freight!$D32</f>
        <v>848</v>
      </c>
      <c r="M18" s="543">
        <f>+[14]Freight!$D32</f>
        <v>0</v>
      </c>
      <c r="N18" s="543">
        <f>+[15]Freight!$D32</f>
        <v>0</v>
      </c>
      <c r="O18" s="543">
        <f>+[16]Freight!$D32</f>
        <v>0</v>
      </c>
      <c r="P18" s="543">
        <f>+[17]Freight!$D32</f>
        <v>0</v>
      </c>
    </row>
    <row r="19" spans="2:16">
      <c r="B19" s="540" t="s">
        <v>2481</v>
      </c>
      <c r="C19" s="541"/>
      <c r="D19" s="541"/>
      <c r="E19" s="541"/>
      <c r="F19" s="541"/>
      <c r="G19" s="541"/>
      <c r="H19" s="543">
        <f>+[9]Freight!$D33</f>
        <v>0</v>
      </c>
      <c r="I19" s="543">
        <f>+[10]Freight!$D33</f>
        <v>0</v>
      </c>
      <c r="J19" s="543">
        <f>+[11]Freight!$D33</f>
        <v>745</v>
      </c>
      <c r="K19" s="543">
        <f>+[12]Freight!$D33</f>
        <v>0</v>
      </c>
      <c r="L19" s="543">
        <f>+[13]Freight!$D33</f>
        <v>2148</v>
      </c>
      <c r="M19" s="543">
        <f>+[14]Freight!$D33</f>
        <v>3518</v>
      </c>
      <c r="N19" s="543">
        <f>+[15]Freight!$D33</f>
        <v>1000</v>
      </c>
      <c r="O19" s="543">
        <f>+[16]Freight!$D33</f>
        <v>6691</v>
      </c>
      <c r="P19" s="543">
        <f>+[17]Freight!$D33</f>
        <v>0</v>
      </c>
    </row>
    <row r="20" spans="2:16">
      <c r="B20" s="540" t="s">
        <v>418</v>
      </c>
      <c r="C20" s="541"/>
      <c r="D20" s="541"/>
      <c r="E20" s="541"/>
      <c r="F20" s="541"/>
      <c r="G20" s="541"/>
      <c r="H20" s="543">
        <f>+[9]Freight!$D34</f>
        <v>0</v>
      </c>
      <c r="I20" s="543">
        <f>+[10]Freight!$D34</f>
        <v>0</v>
      </c>
      <c r="J20" s="543">
        <f>+[11]Freight!$D34</f>
        <v>0</v>
      </c>
      <c r="K20" s="543">
        <f>+[12]Freight!$D34</f>
        <v>0</v>
      </c>
      <c r="L20" s="543">
        <f>+[13]Freight!$D34</f>
        <v>0</v>
      </c>
      <c r="M20" s="543">
        <f>+[14]Freight!$D34</f>
        <v>0</v>
      </c>
      <c r="N20" s="543">
        <f>+[15]Freight!$D34</f>
        <v>0</v>
      </c>
      <c r="O20" s="543">
        <f>+[16]Freight!$D34</f>
        <v>0</v>
      </c>
      <c r="P20" s="543">
        <f>+[17]Freight!$D34</f>
        <v>0</v>
      </c>
    </row>
    <row r="21" spans="2:16">
      <c r="B21" s="540" t="s">
        <v>2482</v>
      </c>
      <c r="C21" s="541"/>
      <c r="D21" s="541"/>
      <c r="E21" s="541"/>
      <c r="F21" s="541"/>
      <c r="G21" s="541"/>
      <c r="H21" s="543">
        <f>+[9]Freight!$D35</f>
        <v>0</v>
      </c>
      <c r="I21" s="543">
        <f>+[10]Freight!$D35</f>
        <v>0</v>
      </c>
      <c r="J21" s="543">
        <f>+[11]Freight!$D35</f>
        <v>0</v>
      </c>
      <c r="K21" s="543">
        <f>+[12]Freight!$D35</f>
        <v>0</v>
      </c>
      <c r="L21" s="543">
        <f>+[13]Freight!$D35</f>
        <v>0</v>
      </c>
      <c r="M21" s="543">
        <f>+[14]Freight!$D35</f>
        <v>0</v>
      </c>
      <c r="N21" s="543">
        <f>+[15]Freight!$D35</f>
        <v>0</v>
      </c>
      <c r="O21" s="543">
        <f>+[16]Freight!$D35</f>
        <v>0</v>
      </c>
      <c r="P21" s="543">
        <f>+[17]Freight!$D35</f>
        <v>0</v>
      </c>
    </row>
    <row r="22" spans="2:16">
      <c r="B22" s="540" t="s">
        <v>2483</v>
      </c>
      <c r="C22" s="541"/>
      <c r="D22" s="541"/>
      <c r="E22" s="541"/>
      <c r="F22" s="541"/>
      <c r="G22" s="541"/>
      <c r="H22" s="543">
        <f>+[9]Freight!$D36</f>
        <v>0</v>
      </c>
      <c r="I22" s="543">
        <f>+[10]Freight!$D36</f>
        <v>0</v>
      </c>
      <c r="J22" s="543">
        <f>+[11]Freight!$D36</f>
        <v>0</v>
      </c>
      <c r="K22" s="543">
        <f>+[12]Freight!$D36</f>
        <v>0</v>
      </c>
      <c r="L22" s="543">
        <f>+[13]Freight!$D36</f>
        <v>0</v>
      </c>
      <c r="M22" s="543">
        <f>+[14]Freight!$D36</f>
        <v>0</v>
      </c>
      <c r="N22" s="543">
        <f>+[15]Freight!$D36</f>
        <v>0</v>
      </c>
      <c r="O22" s="543">
        <f>+[16]Freight!$D36</f>
        <v>0</v>
      </c>
      <c r="P22" s="543">
        <f>+[17]Freight!$D36</f>
        <v>0</v>
      </c>
    </row>
    <row r="23" spans="2:16">
      <c r="B23" s="540" t="s">
        <v>2484</v>
      </c>
      <c r="C23" s="541"/>
      <c r="D23" s="541"/>
      <c r="E23" s="541"/>
      <c r="F23" s="541"/>
      <c r="G23" s="541"/>
      <c r="H23" s="543">
        <f>+[9]Freight!$D37</f>
        <v>0</v>
      </c>
      <c r="I23" s="543">
        <f>+[10]Freight!$D37</f>
        <v>0</v>
      </c>
      <c r="J23" s="543">
        <f>+[11]Freight!$D37</f>
        <v>0</v>
      </c>
      <c r="K23" s="543">
        <f>+[12]Freight!$D37</f>
        <v>0</v>
      </c>
      <c r="L23" s="543">
        <f>+[13]Freight!$D37</f>
        <v>0</v>
      </c>
      <c r="M23" s="543">
        <f>+[14]Freight!$D37</f>
        <v>0</v>
      </c>
      <c r="N23" s="543">
        <f>+[15]Freight!$D37</f>
        <v>0</v>
      </c>
      <c r="O23" s="543">
        <f>+[16]Freight!$D37</f>
        <v>0</v>
      </c>
      <c r="P23" s="543">
        <f>+[17]Freight!$D37</f>
        <v>0</v>
      </c>
    </row>
    <row r="24" spans="2:16">
      <c r="B24" s="540" t="s">
        <v>2485</v>
      </c>
      <c r="C24" s="541"/>
      <c r="D24" s="541"/>
      <c r="E24" s="541"/>
      <c r="F24" s="541"/>
      <c r="G24" s="541"/>
      <c r="H24" s="543">
        <f>+[9]Freight!$D38</f>
        <v>12082</v>
      </c>
      <c r="I24" s="543">
        <f>+[10]Freight!$D38</f>
        <v>594</v>
      </c>
      <c r="J24" s="543">
        <f>+[11]Freight!$D38</f>
        <v>0</v>
      </c>
      <c r="K24" s="543">
        <f>+[12]Freight!$D38</f>
        <v>10796</v>
      </c>
      <c r="L24" s="543">
        <f>+[13]Freight!$D38</f>
        <v>0</v>
      </c>
      <c r="M24" s="543">
        <f>+[14]Freight!$D38</f>
        <v>7824</v>
      </c>
      <c r="N24" s="543">
        <f>+[15]Freight!$D38</f>
        <v>0</v>
      </c>
      <c r="O24" s="543">
        <f>+[16]Freight!$D38</f>
        <v>6845</v>
      </c>
      <c r="P24" s="543">
        <f>+[17]Freight!$D38</f>
        <v>0</v>
      </c>
    </row>
    <row r="25" spans="2:16">
      <c r="B25" s="540" t="s">
        <v>2486</v>
      </c>
      <c r="C25" s="541"/>
      <c r="D25" s="541"/>
      <c r="E25" s="541"/>
      <c r="F25" s="541"/>
      <c r="G25" s="541"/>
      <c r="H25" s="543">
        <f>+[9]Freight!$D39</f>
        <v>0</v>
      </c>
      <c r="I25" s="543">
        <f>+[10]Freight!$D39</f>
        <v>6273</v>
      </c>
      <c r="J25" s="543">
        <f>+[11]Freight!$D39</f>
        <v>0</v>
      </c>
      <c r="K25" s="543">
        <f>+[12]Freight!$D39</f>
        <v>0</v>
      </c>
      <c r="L25" s="543">
        <f>+[13]Freight!$D39</f>
        <v>13053</v>
      </c>
      <c r="M25" s="543">
        <f>+[14]Freight!$D39</f>
        <v>0</v>
      </c>
      <c r="N25" s="543">
        <f>+[15]Freight!$D39</f>
        <v>0</v>
      </c>
      <c r="O25" s="543">
        <f>+[16]Freight!$D39</f>
        <v>17863</v>
      </c>
      <c r="P25" s="543">
        <f>+[17]Freight!$D39</f>
        <v>3581</v>
      </c>
    </row>
    <row r="26" spans="2:16">
      <c r="B26" s="540" t="s">
        <v>2487</v>
      </c>
      <c r="C26" s="541"/>
      <c r="D26" s="541"/>
      <c r="E26" s="541"/>
      <c r="F26" s="541"/>
      <c r="G26" s="541"/>
      <c r="H26" s="543">
        <f>+[9]Freight!$D40</f>
        <v>17933</v>
      </c>
      <c r="I26" s="543">
        <f>+[10]Freight!$D40</f>
        <v>29525</v>
      </c>
      <c r="J26" s="543">
        <f>+[11]Freight!$D40</f>
        <v>55408</v>
      </c>
      <c r="K26" s="543">
        <f>+[12]Freight!$D40</f>
        <v>9349</v>
      </c>
      <c r="L26" s="543">
        <f>+[13]Freight!$D40</f>
        <v>53409</v>
      </c>
      <c r="M26" s="543">
        <f>+[14]Freight!$D40</f>
        <v>13409</v>
      </c>
      <c r="N26" s="543">
        <f>+[15]Freight!$D40</f>
        <v>31477</v>
      </c>
      <c r="O26" s="543">
        <f>+[16]Freight!$D40</f>
        <v>42201</v>
      </c>
      <c r="P26" s="543">
        <f>+[17]Freight!$D40</f>
        <v>17664</v>
      </c>
    </row>
    <row r="27" spans="2:16">
      <c r="B27" s="540" t="s">
        <v>2488</v>
      </c>
      <c r="C27" s="541"/>
      <c r="D27" s="541"/>
      <c r="E27" s="541"/>
      <c r="F27" s="541"/>
      <c r="G27" s="541"/>
      <c r="H27" s="543">
        <f>+[9]Freight!$D41</f>
        <v>75197</v>
      </c>
      <c r="I27" s="543">
        <f>+[10]Freight!$D41</f>
        <v>11959</v>
      </c>
      <c r="J27" s="543">
        <f>+[11]Freight!$D41</f>
        <v>31405</v>
      </c>
      <c r="K27" s="543">
        <f>+[12]Freight!$D41</f>
        <v>78240</v>
      </c>
      <c r="L27" s="543">
        <f>+[13]Freight!$D41</f>
        <v>14132</v>
      </c>
      <c r="M27" s="543">
        <f>+[14]Freight!$D41</f>
        <v>7896</v>
      </c>
      <c r="N27" s="543">
        <f>+[15]Freight!$D41</f>
        <v>27612</v>
      </c>
      <c r="O27" s="543">
        <f>+[16]Freight!$D41</f>
        <v>29165</v>
      </c>
      <c r="P27" s="543">
        <f>+[17]Freight!$D41</f>
        <v>37760</v>
      </c>
    </row>
    <row r="28" spans="2:16">
      <c r="B28" s="540" t="s">
        <v>2489</v>
      </c>
      <c r="C28" s="541"/>
      <c r="D28" s="541"/>
      <c r="E28" s="541"/>
      <c r="F28" s="541"/>
      <c r="G28" s="541"/>
      <c r="H28" s="543">
        <f>+[9]Freight!$D42</f>
        <v>0</v>
      </c>
      <c r="I28" s="543">
        <f>+[10]Freight!$D42</f>
        <v>0</v>
      </c>
      <c r="J28" s="543">
        <f>+[11]Freight!$D42</f>
        <v>0</v>
      </c>
      <c r="K28" s="543">
        <f>+[12]Freight!$D42</f>
        <v>0</v>
      </c>
      <c r="L28" s="543">
        <f>+[13]Freight!$D42</f>
        <v>0</v>
      </c>
      <c r="M28" s="543">
        <f>+[14]Freight!$D42</f>
        <v>0</v>
      </c>
      <c r="N28" s="543">
        <f>+[15]Freight!$D42</f>
        <v>0</v>
      </c>
      <c r="O28" s="543">
        <f>+[16]Freight!$D42</f>
        <v>0</v>
      </c>
      <c r="P28" s="543">
        <f>+[17]Freight!$D42</f>
        <v>0</v>
      </c>
    </row>
    <row r="29" spans="2:16">
      <c r="B29" s="540" t="s">
        <v>2490</v>
      </c>
      <c r="C29" s="541"/>
      <c r="D29" s="541"/>
      <c r="E29" s="541"/>
      <c r="F29" s="541"/>
      <c r="G29" s="541"/>
      <c r="H29" s="543">
        <f>+[9]Freight!$D43</f>
        <v>0</v>
      </c>
      <c r="I29" s="543">
        <f>+[10]Freight!$D43</f>
        <v>0</v>
      </c>
      <c r="J29" s="543">
        <f>+[11]Freight!$D43</f>
        <v>0</v>
      </c>
      <c r="K29" s="543">
        <f>+[12]Freight!$D43</f>
        <v>0</v>
      </c>
      <c r="L29" s="543">
        <f>+[13]Freight!$D43</f>
        <v>0</v>
      </c>
      <c r="M29" s="543">
        <f>+[14]Freight!$D43</f>
        <v>0</v>
      </c>
      <c r="N29" s="543">
        <f>+[15]Freight!$D43</f>
        <v>0</v>
      </c>
      <c r="O29" s="543">
        <f>+[16]Freight!$D43</f>
        <v>0</v>
      </c>
      <c r="P29" s="543">
        <f>+[17]Freight!$D43</f>
        <v>0</v>
      </c>
    </row>
    <row r="30" spans="2:16" ht="13.5" thickBot="1">
      <c r="B30" s="540"/>
      <c r="C30" s="541"/>
      <c r="D30" s="541"/>
      <c r="E30" s="541"/>
      <c r="F30" s="541"/>
      <c r="G30" s="541"/>
      <c r="H30" s="544">
        <f t="shared" ref="H30:P30" si="0">SUM(H15:H29)</f>
        <v>731096</v>
      </c>
      <c r="I30" s="544">
        <f t="shared" si="0"/>
        <v>688715</v>
      </c>
      <c r="J30" s="544">
        <f t="shared" si="0"/>
        <v>616267</v>
      </c>
      <c r="K30" s="544">
        <f t="shared" si="0"/>
        <v>800923</v>
      </c>
      <c r="L30" s="544">
        <f t="shared" si="0"/>
        <v>635318</v>
      </c>
      <c r="M30" s="544">
        <f t="shared" si="0"/>
        <v>521738</v>
      </c>
      <c r="N30" s="544">
        <f t="shared" si="0"/>
        <v>610270</v>
      </c>
      <c r="O30" s="544">
        <f t="shared" si="0"/>
        <v>678526</v>
      </c>
      <c r="P30" s="544">
        <f t="shared" si="0"/>
        <v>593510</v>
      </c>
    </row>
    <row r="31" spans="2:16" ht="13.5" thickTop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rgb="FFFF0000"/>
    <pageSetUpPr fitToPage="1"/>
  </sheetPr>
  <dimension ref="A1:K44"/>
  <sheetViews>
    <sheetView topLeftCell="A10" workbookViewId="0"/>
  </sheetViews>
  <sheetFormatPr defaultColWidth="6.7109375" defaultRowHeight="12.75"/>
  <cols>
    <col min="1" max="1" width="13.5703125" style="25" customWidth="1"/>
    <col min="2" max="3" width="6.7109375" style="25" customWidth="1"/>
    <col min="4" max="4" width="12.5703125" style="25" customWidth="1"/>
    <col min="5" max="5" width="9" style="25" customWidth="1"/>
    <col min="6" max="10" width="11.7109375" style="25" customWidth="1"/>
    <col min="11" max="11" width="7.5703125" style="25" bestFit="1" customWidth="1"/>
    <col min="12" max="16384" width="6.7109375" style="25"/>
  </cols>
  <sheetData>
    <row r="1" spans="1:10">
      <c r="A1" s="19" t="s">
        <v>327</v>
      </c>
    </row>
    <row r="2" spans="1:10">
      <c r="A2" s="29" t="s">
        <v>2645</v>
      </c>
    </row>
    <row r="6" spans="1:10">
      <c r="G6" s="597" t="s">
        <v>374</v>
      </c>
      <c r="H6" s="597"/>
      <c r="I6" s="413"/>
    </row>
    <row r="7" spans="1:10">
      <c r="F7" s="210"/>
      <c r="G7" s="210"/>
      <c r="H7" s="210" t="s">
        <v>375</v>
      </c>
      <c r="I7" s="210"/>
    </row>
    <row r="8" spans="1:10">
      <c r="F8" s="210" t="s">
        <v>376</v>
      </c>
      <c r="G8" s="210" t="s">
        <v>376</v>
      </c>
      <c r="H8" s="210" t="s">
        <v>377</v>
      </c>
      <c r="I8" s="210" t="s">
        <v>330</v>
      </c>
    </row>
    <row r="9" spans="1:10">
      <c r="F9" s="210" t="s">
        <v>378</v>
      </c>
      <c r="G9" s="210" t="s">
        <v>379</v>
      </c>
      <c r="H9" s="210" t="s">
        <v>380</v>
      </c>
      <c r="I9" s="210" t="s">
        <v>608</v>
      </c>
      <c r="J9" s="210" t="s">
        <v>381</v>
      </c>
    </row>
    <row r="10" spans="1:10">
      <c r="E10" s="210" t="s">
        <v>337</v>
      </c>
      <c r="F10" s="210" t="s">
        <v>329</v>
      </c>
      <c r="G10" s="210" t="s">
        <v>329</v>
      </c>
      <c r="H10" s="210" t="s">
        <v>329</v>
      </c>
      <c r="I10" s="210" t="s">
        <v>329</v>
      </c>
      <c r="J10" s="210" t="s">
        <v>329</v>
      </c>
    </row>
    <row r="11" spans="1:10">
      <c r="F11" s="210"/>
      <c r="G11" s="210"/>
      <c r="H11" s="210"/>
      <c r="I11" s="210"/>
      <c r="J11" s="210"/>
    </row>
    <row r="12" spans="1:10">
      <c r="F12" s="210"/>
      <c r="G12" s="210"/>
      <c r="H12" s="210"/>
      <c r="I12" s="210"/>
      <c r="J12" s="210"/>
    </row>
    <row r="13" spans="1:10">
      <c r="F13" s="217"/>
      <c r="G13" s="217"/>
      <c r="H13" s="217"/>
      <c r="I13" s="217"/>
      <c r="J13" s="217"/>
    </row>
    <row r="14" spans="1:10">
      <c r="A14" s="25" t="s">
        <v>2629</v>
      </c>
      <c r="B14" s="30"/>
      <c r="C14" s="30"/>
      <c r="F14" s="217">
        <v>134331</v>
      </c>
      <c r="G14" s="217">
        <v>4112</v>
      </c>
      <c r="H14" s="217">
        <v>2138</v>
      </c>
      <c r="I14" s="217">
        <v>51723</v>
      </c>
      <c r="J14" s="217">
        <v>192304</v>
      </c>
    </row>
    <row r="15" spans="1:10">
      <c r="F15" s="217"/>
      <c r="G15" s="217"/>
      <c r="H15" s="217"/>
      <c r="I15" s="217"/>
      <c r="J15" s="217"/>
    </row>
    <row r="16" spans="1:10">
      <c r="A16" s="30"/>
      <c r="F16" s="217"/>
      <c r="G16" s="217"/>
      <c r="H16" s="217"/>
      <c r="I16" s="217"/>
      <c r="J16" s="217"/>
    </row>
    <row r="17" spans="1:11">
      <c r="A17" s="548" t="s">
        <v>2516</v>
      </c>
      <c r="B17" s="30"/>
      <c r="C17" s="30"/>
      <c r="F17" s="217"/>
      <c r="G17" s="217"/>
      <c r="H17" s="217"/>
      <c r="I17" s="217">
        <v>2420</v>
      </c>
      <c r="J17" s="217">
        <v>2420</v>
      </c>
    </row>
    <row r="18" spans="1:11">
      <c r="A18" s="30" t="s">
        <v>382</v>
      </c>
      <c r="B18" s="30"/>
      <c r="C18" s="30"/>
      <c r="F18" s="217"/>
      <c r="G18" s="217"/>
      <c r="H18" s="217"/>
      <c r="I18" s="217">
        <v>-7439</v>
      </c>
      <c r="J18" s="217">
        <v>-7439</v>
      </c>
    </row>
    <row r="19" spans="1:11" hidden="1">
      <c r="A19" s="30" t="s">
        <v>383</v>
      </c>
      <c r="B19" s="30"/>
      <c r="C19" s="30"/>
      <c r="F19" s="217"/>
      <c r="G19" s="217"/>
      <c r="H19" s="217">
        <v>0</v>
      </c>
      <c r="I19" s="217"/>
      <c r="J19" s="217">
        <v>0</v>
      </c>
    </row>
    <row r="20" spans="1:11">
      <c r="A20" s="30"/>
      <c r="B20" s="30"/>
      <c r="C20" s="30"/>
      <c r="F20" s="221"/>
      <c r="G20" s="221"/>
      <c r="H20" s="221"/>
      <c r="I20" s="221"/>
      <c r="J20" s="221"/>
    </row>
    <row r="21" spans="1:11">
      <c r="A21" s="30"/>
      <c r="B21" s="30"/>
      <c r="C21" s="30"/>
      <c r="F21" s="217"/>
      <c r="G21" s="217"/>
      <c r="H21" s="217"/>
      <c r="I21" s="217"/>
      <c r="J21" s="217"/>
    </row>
    <row r="22" spans="1:11">
      <c r="A22" s="580" t="s">
        <v>2644</v>
      </c>
      <c r="B22" s="30"/>
      <c r="C22" s="30"/>
      <c r="F22" s="217">
        <v>134331</v>
      </c>
      <c r="G22" s="217">
        <v>4112</v>
      </c>
      <c r="H22" s="217">
        <v>2138</v>
      </c>
      <c r="I22" s="217">
        <v>46704</v>
      </c>
      <c r="J22" s="217">
        <v>187285</v>
      </c>
      <c r="K22" s="47"/>
    </row>
    <row r="23" spans="1:11" ht="13.5" thickBot="1">
      <c r="A23" s="30"/>
      <c r="B23" s="30"/>
      <c r="C23" s="30"/>
      <c r="F23" s="223"/>
      <c r="G23" s="223"/>
      <c r="H23" s="223"/>
      <c r="I23" s="223"/>
      <c r="J23" s="223"/>
      <c r="K23" s="47"/>
    </row>
    <row r="24" spans="1:11">
      <c r="F24" s="217"/>
      <c r="G24" s="217"/>
      <c r="H24" s="217"/>
      <c r="I24" s="217"/>
      <c r="J24" s="217"/>
    </row>
    <row r="25" spans="1:11">
      <c r="F25" s="217"/>
      <c r="G25" s="217"/>
      <c r="H25" s="217"/>
      <c r="I25" s="217"/>
      <c r="J25" s="217"/>
    </row>
    <row r="26" spans="1:11">
      <c r="A26" s="25" t="s">
        <v>832</v>
      </c>
      <c r="B26" s="30"/>
      <c r="C26" s="30"/>
      <c r="F26" s="217">
        <v>134331</v>
      </c>
      <c r="G26" s="217">
        <v>4112</v>
      </c>
      <c r="H26" s="217">
        <v>2138</v>
      </c>
      <c r="I26" s="217">
        <v>53007</v>
      </c>
      <c r="J26" s="217">
        <v>193588</v>
      </c>
    </row>
    <row r="27" spans="1:11">
      <c r="A27" s="546" t="s">
        <v>2498</v>
      </c>
      <c r="F27" s="217"/>
      <c r="G27" s="217"/>
      <c r="H27" s="217"/>
      <c r="I27" s="217">
        <v>5</v>
      </c>
      <c r="J27" s="217">
        <v>5</v>
      </c>
    </row>
    <row r="28" spans="1:11">
      <c r="A28" s="546"/>
      <c r="F28" s="221"/>
      <c r="G28" s="221"/>
      <c r="H28" s="221"/>
      <c r="I28" s="221"/>
      <c r="J28" s="221"/>
    </row>
    <row r="29" spans="1:11">
      <c r="A29" s="546" t="s">
        <v>2499</v>
      </c>
      <c r="F29" s="217">
        <v>134331</v>
      </c>
      <c r="G29" s="217">
        <v>4112</v>
      </c>
      <c r="H29" s="217">
        <v>2138</v>
      </c>
      <c r="I29" s="217">
        <v>53012</v>
      </c>
      <c r="J29" s="217">
        <v>193593</v>
      </c>
    </row>
    <row r="30" spans="1:11">
      <c r="A30" s="30"/>
      <c r="F30" s="217"/>
      <c r="G30" s="217"/>
      <c r="H30" s="217"/>
      <c r="I30" s="217"/>
      <c r="J30" s="217"/>
    </row>
    <row r="31" spans="1:11">
      <c r="A31" s="548" t="s">
        <v>2516</v>
      </c>
      <c r="B31" s="30"/>
      <c r="C31" s="30"/>
      <c r="F31" s="217"/>
      <c r="G31" s="217"/>
      <c r="H31" s="217"/>
      <c r="I31" s="217">
        <v>2269</v>
      </c>
      <c r="J31" s="217">
        <v>2269</v>
      </c>
    </row>
    <row r="32" spans="1:11">
      <c r="A32" s="30" t="s">
        <v>382</v>
      </c>
      <c r="B32" s="30"/>
      <c r="C32" s="30"/>
      <c r="F32" s="217"/>
      <c r="G32" s="217"/>
      <c r="H32" s="217"/>
      <c r="I32" s="217">
        <v>-7439</v>
      </c>
      <c r="J32" s="217">
        <v>-7439</v>
      </c>
    </row>
    <row r="33" spans="1:11" hidden="1">
      <c r="A33" s="30" t="s">
        <v>383</v>
      </c>
      <c r="B33" s="30"/>
      <c r="C33" s="30"/>
      <c r="F33" s="217"/>
      <c r="G33" s="217"/>
      <c r="H33" s="217">
        <v>0</v>
      </c>
      <c r="I33" s="217"/>
      <c r="J33" s="217">
        <v>0</v>
      </c>
    </row>
    <row r="34" spans="1:11">
      <c r="A34" s="30"/>
      <c r="B34" s="30"/>
      <c r="C34" s="30"/>
      <c r="F34" s="221"/>
      <c r="G34" s="221"/>
      <c r="H34" s="221"/>
      <c r="I34" s="221"/>
      <c r="J34" s="221"/>
    </row>
    <row r="35" spans="1:11" s="50" customFormat="1" hidden="1">
      <c r="A35" s="106" t="s">
        <v>677</v>
      </c>
      <c r="B35" s="106"/>
      <c r="C35" s="106"/>
      <c r="F35" s="220"/>
      <c r="G35" s="220"/>
      <c r="H35" s="220"/>
      <c r="I35" s="220"/>
      <c r="J35" s="220">
        <v>0</v>
      </c>
    </row>
    <row r="36" spans="1:11" s="50" customFormat="1" hidden="1">
      <c r="A36" s="106" t="s">
        <v>685</v>
      </c>
      <c r="B36" s="106"/>
      <c r="C36" s="106"/>
      <c r="F36" s="222"/>
      <c r="G36" s="222"/>
      <c r="H36" s="222"/>
      <c r="I36" s="222"/>
      <c r="J36" s="222">
        <v>0</v>
      </c>
    </row>
    <row r="37" spans="1:11">
      <c r="A37" s="30"/>
      <c r="B37" s="30"/>
      <c r="C37" s="30"/>
      <c r="F37" s="217"/>
      <c r="G37" s="217"/>
      <c r="H37" s="217"/>
      <c r="I37" s="217"/>
      <c r="J37" s="217"/>
    </row>
    <row r="38" spans="1:11">
      <c r="A38" s="580" t="s">
        <v>2643</v>
      </c>
      <c r="B38" s="30"/>
      <c r="C38" s="30"/>
      <c r="F38" s="217">
        <v>134331</v>
      </c>
      <c r="G38" s="217">
        <v>4112</v>
      </c>
      <c r="H38" s="217">
        <v>2138</v>
      </c>
      <c r="I38" s="217">
        <v>47842</v>
      </c>
      <c r="J38" s="217">
        <v>188423</v>
      </c>
      <c r="K38" s="47"/>
    </row>
    <row r="39" spans="1:11" ht="13.5" thickBot="1">
      <c r="A39" s="30"/>
      <c r="B39" s="30"/>
      <c r="C39" s="30"/>
      <c r="F39" s="223"/>
      <c r="G39" s="223"/>
      <c r="H39" s="223"/>
      <c r="I39" s="223"/>
      <c r="J39" s="223"/>
      <c r="K39" s="47"/>
    </row>
    <row r="40" spans="1:11">
      <c r="A40" s="30"/>
      <c r="B40" s="30"/>
      <c r="C40" s="30"/>
      <c r="F40" s="217"/>
      <c r="G40" s="217"/>
      <c r="H40" s="217"/>
      <c r="I40" s="217"/>
      <c r="J40" s="217"/>
    </row>
    <row r="41" spans="1:11">
      <c r="A41" s="30"/>
      <c r="B41" s="30"/>
      <c r="C41" s="30"/>
      <c r="F41" s="217"/>
      <c r="G41" s="217"/>
      <c r="H41" s="217"/>
      <c r="I41" s="217"/>
      <c r="J41" s="217"/>
    </row>
    <row r="42" spans="1:11">
      <c r="A42" s="30"/>
      <c r="B42" s="30"/>
      <c r="C42" s="30"/>
      <c r="F42" s="217"/>
      <c r="G42" s="217"/>
      <c r="H42" s="217"/>
      <c r="I42" s="217"/>
      <c r="J42" s="217"/>
    </row>
    <row r="43" spans="1:11">
      <c r="A43" s="29" t="s">
        <v>2635</v>
      </c>
      <c r="B43" s="30"/>
      <c r="C43" s="30"/>
      <c r="F43" s="234"/>
      <c r="G43" s="234"/>
      <c r="H43" s="234"/>
      <c r="I43" s="234"/>
      <c r="J43" s="234"/>
    </row>
    <row r="44" spans="1:11">
      <c r="A44" s="29" t="s">
        <v>2633</v>
      </c>
      <c r="B44" s="30"/>
      <c r="C44" s="30"/>
      <c r="F44" s="234"/>
      <c r="G44" s="234"/>
      <c r="H44" s="234"/>
      <c r="I44" s="234"/>
      <c r="J44" s="234"/>
    </row>
  </sheetData>
  <mergeCells count="1">
    <mergeCell ref="G6:H6"/>
  </mergeCells>
  <phoneticPr fontId="0" type="noConversion"/>
  <pageMargins left="0.75" right="0.75" top="1" bottom="1" header="0.5" footer="0.5"/>
  <pageSetup paperSize="9" scale="81" orientation="portrait" blackAndWhite="1" horizontalDpi="4294967292" verticalDpi="300" r:id="rId1"/>
  <headerFooter alignWithMargins="0">
    <oddFooter>&amp;L&amp;D&amp;F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rgb="FFFF0000"/>
    <pageSetUpPr fitToPage="1"/>
  </sheetPr>
  <dimension ref="B1:E46"/>
  <sheetViews>
    <sheetView workbookViewId="0">
      <selection activeCell="G38" sqref="G38"/>
    </sheetView>
  </sheetViews>
  <sheetFormatPr defaultColWidth="6.7109375" defaultRowHeight="12.75"/>
  <cols>
    <col min="1" max="1" width="6.7109375" style="25"/>
    <col min="2" max="2" width="45.42578125" style="25" customWidth="1"/>
    <col min="3" max="4" width="13.42578125" style="201" customWidth="1"/>
    <col min="5" max="5" width="16" style="201" customWidth="1"/>
    <col min="6" max="16384" width="6.7109375" style="25"/>
  </cols>
  <sheetData>
    <row r="1" spans="2:5">
      <c r="B1" s="19" t="s">
        <v>327</v>
      </c>
      <c r="C1" s="235"/>
      <c r="D1" s="235"/>
      <c r="E1" s="235"/>
    </row>
    <row r="2" spans="2:5">
      <c r="B2" s="25" t="s">
        <v>2630</v>
      </c>
    </row>
    <row r="4" spans="2:5" ht="13.5" thickBot="1"/>
    <row r="5" spans="2:5" ht="27" customHeight="1" thickBot="1">
      <c r="C5" s="578" t="s">
        <v>2646</v>
      </c>
      <c r="D5" s="578" t="s">
        <v>2642</v>
      </c>
    </row>
    <row r="6" spans="2:5">
      <c r="C6" s="208">
        <v>2011</v>
      </c>
      <c r="D6" s="208">
        <v>2010</v>
      </c>
      <c r="E6" s="208"/>
    </row>
    <row r="7" spans="2:5">
      <c r="C7" s="214" t="s">
        <v>329</v>
      </c>
      <c r="D7" s="214" t="s">
        <v>329</v>
      </c>
      <c r="E7" s="283"/>
    </row>
    <row r="8" spans="2:5">
      <c r="D8" s="117"/>
    </row>
    <row r="9" spans="2:5">
      <c r="B9" s="25" t="s">
        <v>384</v>
      </c>
      <c r="D9" s="117"/>
    </row>
    <row r="10" spans="2:5">
      <c r="B10" s="30" t="s">
        <v>385</v>
      </c>
      <c r="C10" s="219">
        <v>14540</v>
      </c>
      <c r="D10" s="581">
        <v>20303</v>
      </c>
      <c r="E10" s="220"/>
    </row>
    <row r="11" spans="2:5" hidden="1">
      <c r="B11" s="30" t="s">
        <v>386</v>
      </c>
      <c r="C11" s="219">
        <v>0</v>
      </c>
      <c r="D11" s="581">
        <v>0</v>
      </c>
      <c r="E11" s="220"/>
    </row>
    <row r="12" spans="2:5">
      <c r="B12" s="30" t="s">
        <v>387</v>
      </c>
      <c r="C12" s="219">
        <v>-273</v>
      </c>
      <c r="D12" s="581">
        <v>-675</v>
      </c>
      <c r="E12" s="220"/>
    </row>
    <row r="13" spans="2:5" hidden="1">
      <c r="B13" s="30" t="s">
        <v>388</v>
      </c>
      <c r="C13" s="219">
        <v>0</v>
      </c>
      <c r="D13" s="581">
        <v>0</v>
      </c>
      <c r="E13" s="205"/>
    </row>
    <row r="14" spans="2:5">
      <c r="B14" s="445" t="s">
        <v>837</v>
      </c>
      <c r="C14" s="219">
        <v>349</v>
      </c>
      <c r="D14" s="581">
        <v>3209</v>
      </c>
      <c r="E14" s="205"/>
    </row>
    <row r="15" spans="2:5">
      <c r="B15" s="30" t="s">
        <v>389</v>
      </c>
      <c r="C15" s="219">
        <v>-1060</v>
      </c>
      <c r="D15" s="581">
        <v>-486</v>
      </c>
      <c r="E15" s="220"/>
    </row>
    <row r="16" spans="2:5">
      <c r="B16" s="30" t="s">
        <v>390</v>
      </c>
      <c r="C16" s="237">
        <v>13556</v>
      </c>
      <c r="D16" s="582">
        <v>22351</v>
      </c>
      <c r="E16" s="220"/>
    </row>
    <row r="17" spans="2:5">
      <c r="C17" s="219"/>
      <c r="D17" s="581"/>
      <c r="E17" s="220"/>
    </row>
    <row r="18" spans="2:5">
      <c r="C18" s="219"/>
      <c r="D18" s="581"/>
      <c r="E18" s="220"/>
    </row>
    <row r="19" spans="2:5">
      <c r="B19" s="25" t="s">
        <v>391</v>
      </c>
      <c r="C19" s="219"/>
      <c r="D19" s="581"/>
      <c r="E19" s="220"/>
    </row>
    <row r="20" spans="2:5">
      <c r="B20" s="30" t="s">
        <v>392</v>
      </c>
      <c r="C20" s="219">
        <v>-13053</v>
      </c>
      <c r="D20" s="581">
        <v>-3445</v>
      </c>
      <c r="E20" s="220"/>
    </row>
    <row r="21" spans="2:5">
      <c r="B21" s="30" t="s">
        <v>393</v>
      </c>
      <c r="C21" s="219">
        <v>121.4</v>
      </c>
      <c r="D21" s="581">
        <v>122</v>
      </c>
      <c r="E21" s="220"/>
    </row>
    <row r="22" spans="2:5" hidden="1">
      <c r="B22" s="30" t="s">
        <v>609</v>
      </c>
      <c r="C22" s="219">
        <v>0</v>
      </c>
      <c r="D22" s="581">
        <v>0</v>
      </c>
      <c r="E22" s="220"/>
    </row>
    <row r="23" spans="2:5" hidden="1">
      <c r="B23" s="38" t="s">
        <v>394</v>
      </c>
      <c r="C23" s="219">
        <v>0</v>
      </c>
      <c r="D23" s="581">
        <v>0</v>
      </c>
      <c r="E23" s="220"/>
    </row>
    <row r="24" spans="2:5">
      <c r="B24" s="30" t="s">
        <v>607</v>
      </c>
      <c r="C24" s="219">
        <v>396</v>
      </c>
      <c r="D24" s="581">
        <v>470</v>
      </c>
      <c r="E24" s="220"/>
    </row>
    <row r="25" spans="2:5" hidden="1">
      <c r="B25" s="30" t="s">
        <v>395</v>
      </c>
      <c r="C25" s="220">
        <v>0</v>
      </c>
      <c r="D25" s="583">
        <v>0</v>
      </c>
      <c r="E25" s="220"/>
    </row>
    <row r="26" spans="2:5">
      <c r="B26" s="30" t="s">
        <v>396</v>
      </c>
      <c r="C26" s="237">
        <v>-12535.6</v>
      </c>
      <c r="D26" s="582">
        <v>-2853</v>
      </c>
      <c r="E26" s="220"/>
    </row>
    <row r="27" spans="2:5">
      <c r="C27" s="220"/>
      <c r="D27" s="583"/>
      <c r="E27" s="220"/>
    </row>
    <row r="28" spans="2:5">
      <c r="B28" s="25" t="s">
        <v>397</v>
      </c>
      <c r="C28" s="220"/>
      <c r="D28" s="583"/>
      <c r="E28" s="220"/>
    </row>
    <row r="29" spans="2:5" hidden="1">
      <c r="B29" s="38" t="s">
        <v>398</v>
      </c>
      <c r="C29" s="220">
        <v>0</v>
      </c>
      <c r="D29" s="583">
        <v>0</v>
      </c>
      <c r="E29" s="220"/>
    </row>
    <row r="30" spans="2:5">
      <c r="B30" s="38" t="s">
        <v>603</v>
      </c>
      <c r="C30" s="220"/>
      <c r="D30" s="583"/>
      <c r="E30" s="220"/>
    </row>
    <row r="31" spans="2:5">
      <c r="B31" s="38" t="s">
        <v>604</v>
      </c>
      <c r="C31" s="220">
        <v>-7439</v>
      </c>
      <c r="D31" s="583">
        <v>-7439</v>
      </c>
      <c r="E31" s="220"/>
    </row>
    <row r="32" spans="2:5" hidden="1">
      <c r="B32" s="38" t="s">
        <v>605</v>
      </c>
      <c r="C32" s="220">
        <v>0</v>
      </c>
      <c r="D32" s="583">
        <v>0</v>
      </c>
      <c r="E32" s="220"/>
    </row>
    <row r="33" spans="2:5" hidden="1">
      <c r="B33" s="38" t="s">
        <v>400</v>
      </c>
      <c r="C33" s="220">
        <v>0</v>
      </c>
      <c r="D33" s="583">
        <v>0</v>
      </c>
      <c r="E33" s="220"/>
    </row>
    <row r="34" spans="2:5" hidden="1">
      <c r="B34" s="30" t="s">
        <v>386</v>
      </c>
      <c r="C34" s="220">
        <v>0</v>
      </c>
      <c r="D34" s="583">
        <v>0</v>
      </c>
      <c r="E34" s="220"/>
    </row>
    <row r="35" spans="2:5">
      <c r="B35" s="25" t="s">
        <v>401</v>
      </c>
      <c r="C35" s="237">
        <v>-7439</v>
      </c>
      <c r="D35" s="582">
        <v>-7439</v>
      </c>
      <c r="E35" s="220"/>
    </row>
    <row r="36" spans="2:5">
      <c r="C36" s="220"/>
      <c r="D36" s="583"/>
      <c r="E36" s="220"/>
    </row>
    <row r="37" spans="2:5">
      <c r="B37" s="25" t="s">
        <v>402</v>
      </c>
      <c r="C37" s="220">
        <v>-6418.6</v>
      </c>
      <c r="D37" s="583">
        <v>12059</v>
      </c>
      <c r="E37" s="220"/>
    </row>
    <row r="38" spans="2:5">
      <c r="C38" s="219"/>
      <c r="D38" s="581"/>
      <c r="E38" s="220"/>
    </row>
    <row r="39" spans="2:5">
      <c r="B39" s="25" t="s">
        <v>403</v>
      </c>
      <c r="C39" s="219">
        <v>51365</v>
      </c>
      <c r="D39" s="581">
        <v>42568</v>
      </c>
      <c r="E39" s="220"/>
    </row>
    <row r="40" spans="2:5">
      <c r="C40" s="219"/>
      <c r="D40" s="581"/>
      <c r="E40" s="220"/>
    </row>
    <row r="41" spans="2:5" ht="13.5" thickBot="1">
      <c r="B41" s="25" t="s">
        <v>475</v>
      </c>
      <c r="C41" s="239">
        <v>44946.400000000001</v>
      </c>
      <c r="D41" s="584">
        <v>54627</v>
      </c>
      <c r="E41" s="220"/>
    </row>
    <row r="42" spans="2:5">
      <c r="C42" s="50"/>
      <c r="D42" s="50"/>
      <c r="E42" s="205"/>
    </row>
    <row r="43" spans="2:5">
      <c r="C43" s="219"/>
      <c r="D43" s="219"/>
    </row>
    <row r="44" spans="2:5">
      <c r="C44" s="219"/>
      <c r="D44" s="219"/>
    </row>
    <row r="45" spans="2:5">
      <c r="B45" s="29" t="s">
        <v>2636</v>
      </c>
      <c r="C45" s="50"/>
      <c r="D45" s="50"/>
    </row>
    <row r="46" spans="2:5">
      <c r="B46" s="29" t="s">
        <v>2637</v>
      </c>
      <c r="C46" s="50"/>
      <c r="D46" s="50"/>
    </row>
  </sheetData>
  <phoneticPr fontId="0" type="noConversion"/>
  <printOptions horizontalCentered="1"/>
  <pageMargins left="1.25" right="0.75" top="1" bottom="1" header="0.5" footer="0.5"/>
  <pageSetup paperSize="9" scale="91" orientation="portrait" horizontalDpi="4294967292" verticalDpi="1200" r:id="rId1"/>
  <headerFooter alignWithMargins="0">
    <oddFooter>&amp;L&amp;D&amp;F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 enableFormatConditionsCalculation="0">
    <tabColor rgb="FF0070C0"/>
    <pageSetUpPr fitToPage="1"/>
  </sheetPr>
  <dimension ref="A4:I103"/>
  <sheetViews>
    <sheetView topLeftCell="A83" workbookViewId="0">
      <selection activeCell="A103" sqref="A103"/>
    </sheetView>
  </sheetViews>
  <sheetFormatPr defaultRowHeight="12.75"/>
  <cols>
    <col min="1" max="1" width="19.7109375" customWidth="1"/>
    <col min="2" max="2" width="14.85546875" customWidth="1"/>
    <col min="3" max="3" width="15.28515625" customWidth="1"/>
    <col min="5" max="5" width="11.7109375" customWidth="1"/>
    <col min="6" max="6" width="15.7109375" customWidth="1"/>
  </cols>
  <sheetData>
    <row r="4" spans="1:9">
      <c r="A4" s="25" t="s">
        <v>575</v>
      </c>
    </row>
    <row r="5" spans="1:9">
      <c r="B5" s="251" t="s">
        <v>435</v>
      </c>
      <c r="C5" s="251" t="s">
        <v>434</v>
      </c>
      <c r="E5" s="25"/>
      <c r="F5" s="25"/>
    </row>
    <row r="6" spans="1:9">
      <c r="A6" s="254"/>
      <c r="B6" s="255" t="s">
        <v>437</v>
      </c>
      <c r="C6" s="255" t="s">
        <v>436</v>
      </c>
      <c r="E6" s="251" t="s">
        <v>381</v>
      </c>
      <c r="F6" s="251" t="s">
        <v>438</v>
      </c>
      <c r="G6" s="247" t="s">
        <v>439</v>
      </c>
    </row>
    <row r="7" spans="1:9">
      <c r="A7" s="23" t="s">
        <v>440</v>
      </c>
      <c r="B7" s="121">
        <v>4148000</v>
      </c>
      <c r="C7" s="121"/>
      <c r="E7">
        <f>+C7+B7</f>
        <v>4148000</v>
      </c>
      <c r="F7" s="116"/>
      <c r="G7" s="116"/>
    </row>
    <row r="8" spans="1:9">
      <c r="A8" s="23" t="s">
        <v>439</v>
      </c>
      <c r="B8" s="256">
        <v>-303000</v>
      </c>
      <c r="C8" s="256"/>
      <c r="E8" s="200">
        <f>+B8</f>
        <v>-303000</v>
      </c>
      <c r="F8" s="116"/>
      <c r="G8" s="116">
        <f>+B8</f>
        <v>-303000</v>
      </c>
    </row>
    <row r="9" spans="1:9">
      <c r="A9" s="257" t="s">
        <v>441</v>
      </c>
      <c r="B9" s="121">
        <f>+B7+B8</f>
        <v>3845000</v>
      </c>
      <c r="C9" s="121"/>
      <c r="E9">
        <f>SUM(E7:E8)</f>
        <v>3845000</v>
      </c>
      <c r="F9" s="116"/>
      <c r="G9" s="116"/>
    </row>
    <row r="10" spans="1:9">
      <c r="A10" s="23" t="s">
        <v>442</v>
      </c>
      <c r="B10" s="121"/>
      <c r="C10" s="121">
        <v>3969000</v>
      </c>
      <c r="E10">
        <f>+C10</f>
        <v>3969000</v>
      </c>
      <c r="F10" s="116"/>
      <c r="G10" s="116"/>
    </row>
    <row r="11" spans="1:9">
      <c r="A11" s="23"/>
      <c r="B11" s="121"/>
      <c r="C11" s="121"/>
      <c r="E11">
        <f>+C11</f>
        <v>0</v>
      </c>
      <c r="F11" s="116"/>
      <c r="G11" s="116"/>
    </row>
    <row r="12" spans="1:9">
      <c r="A12" s="258" t="s">
        <v>439</v>
      </c>
      <c r="B12" s="256"/>
      <c r="C12" s="256">
        <v>-446000</v>
      </c>
      <c r="E12" s="200">
        <f>+C12</f>
        <v>-446000</v>
      </c>
      <c r="F12" s="116"/>
      <c r="G12" s="116">
        <f>+C12</f>
        <v>-446000</v>
      </c>
    </row>
    <row r="13" spans="1:9">
      <c r="A13" s="23"/>
      <c r="B13" s="121">
        <f>+B9</f>
        <v>3845000</v>
      </c>
      <c r="C13" s="121">
        <f>+C10+C12</f>
        <v>3523000</v>
      </c>
      <c r="E13">
        <f>SUM(E9:E12)</f>
        <v>7368000</v>
      </c>
      <c r="F13" s="116"/>
      <c r="G13" s="116"/>
    </row>
    <row r="14" spans="1:9">
      <c r="A14" s="258" t="s">
        <v>443</v>
      </c>
      <c r="B14">
        <v>0</v>
      </c>
      <c r="C14">
        <v>-31000</v>
      </c>
      <c r="E14">
        <f>+C14+B14</f>
        <v>-31000</v>
      </c>
      <c r="F14" s="116">
        <f>+E14</f>
        <v>-31000</v>
      </c>
      <c r="G14" s="116"/>
      <c r="I14" t="s">
        <v>444</v>
      </c>
    </row>
    <row r="15" spans="1:9">
      <c r="A15" s="258" t="s">
        <v>439</v>
      </c>
      <c r="B15" s="200">
        <v>-515000</v>
      </c>
      <c r="C15" s="200">
        <v>-338000</v>
      </c>
      <c r="E15" s="200">
        <f>+C15+B15</f>
        <v>-853000</v>
      </c>
      <c r="F15" s="116"/>
      <c r="G15" s="116">
        <f>+E15</f>
        <v>-853000</v>
      </c>
    </row>
    <row r="16" spans="1:9">
      <c r="A16" s="23" t="s">
        <v>445</v>
      </c>
      <c r="B16">
        <f>SUM(B13:B15)</f>
        <v>3330000</v>
      </c>
      <c r="C16">
        <f>SUM(C13:C15)</f>
        <v>3154000</v>
      </c>
      <c r="E16">
        <f>SUM(E13:E15)</f>
        <v>6484000</v>
      </c>
      <c r="F16" s="116"/>
      <c r="G16" s="116"/>
      <c r="H16">
        <f>+G9+G13+G16</f>
        <v>0</v>
      </c>
    </row>
    <row r="17" spans="1:7">
      <c r="A17" s="258" t="s">
        <v>446</v>
      </c>
      <c r="C17">
        <v>0</v>
      </c>
      <c r="E17">
        <f>+C17+B17</f>
        <v>0</v>
      </c>
      <c r="F17" s="116">
        <f>+E17</f>
        <v>0</v>
      </c>
      <c r="G17" s="116"/>
    </row>
    <row r="18" spans="1:7">
      <c r="A18" s="258" t="s">
        <v>439</v>
      </c>
      <c r="B18" s="200">
        <v>-125000</v>
      </c>
      <c r="C18" s="200">
        <v>-125000</v>
      </c>
      <c r="E18" s="200">
        <f>+C18+B18</f>
        <v>-250000</v>
      </c>
      <c r="F18" s="116"/>
      <c r="G18" s="116">
        <f>+E18</f>
        <v>-250000</v>
      </c>
    </row>
    <row r="19" spans="1:7">
      <c r="A19" s="23" t="s">
        <v>447</v>
      </c>
      <c r="B19">
        <f>SUM(B16:B18)</f>
        <v>3205000</v>
      </c>
      <c r="C19">
        <f>SUM(C16:C18)</f>
        <v>3029000</v>
      </c>
      <c r="E19">
        <f>SUM(E16:E18)</f>
        <v>6234000</v>
      </c>
      <c r="F19" s="116"/>
      <c r="G19" s="116"/>
    </row>
    <row r="20" spans="1:7">
      <c r="A20" s="258" t="s">
        <v>448</v>
      </c>
      <c r="B20">
        <v>0</v>
      </c>
      <c r="C20">
        <v>0</v>
      </c>
      <c r="E20">
        <f>+C20+B20</f>
        <v>0</v>
      </c>
      <c r="F20" s="116">
        <f>+E20</f>
        <v>0</v>
      </c>
      <c r="G20" s="116"/>
    </row>
    <row r="21" spans="1:7">
      <c r="A21" s="258" t="s">
        <v>439</v>
      </c>
      <c r="B21" s="200">
        <v>-19000</v>
      </c>
      <c r="C21" s="200">
        <v>-42000</v>
      </c>
      <c r="E21" s="200">
        <f>+C21+B21</f>
        <v>-61000</v>
      </c>
      <c r="F21" s="116"/>
      <c r="G21" s="116">
        <f>+E21</f>
        <v>-61000</v>
      </c>
    </row>
    <row r="22" spans="1:7">
      <c r="A22" s="23" t="s">
        <v>449</v>
      </c>
      <c r="B22">
        <f>SUM(B19:B21)</f>
        <v>3186000</v>
      </c>
      <c r="C22">
        <f>SUM(C19:C21)</f>
        <v>2987000</v>
      </c>
      <c r="E22">
        <f>SUM(E19:E21)</f>
        <v>6173000</v>
      </c>
      <c r="F22" s="116"/>
      <c r="G22" s="116"/>
    </row>
    <row r="23" spans="1:7">
      <c r="A23" s="258" t="s">
        <v>450</v>
      </c>
      <c r="C23">
        <v>-25000</v>
      </c>
      <c r="E23">
        <f>+C23+B23</f>
        <v>-25000</v>
      </c>
      <c r="F23" s="116">
        <f>+E23</f>
        <v>-25000</v>
      </c>
      <c r="G23" s="116"/>
    </row>
    <row r="24" spans="1:7">
      <c r="A24" s="258" t="s">
        <v>439</v>
      </c>
      <c r="B24" s="200">
        <v>-41000</v>
      </c>
      <c r="C24" s="200">
        <v>-35000</v>
      </c>
      <c r="E24" s="200">
        <f>+C24+B24</f>
        <v>-76000</v>
      </c>
      <c r="F24" s="116"/>
      <c r="G24" s="116">
        <f>+E24</f>
        <v>-76000</v>
      </c>
    </row>
    <row r="25" spans="1:7">
      <c r="A25" s="23" t="s">
        <v>451</v>
      </c>
      <c r="B25">
        <f>SUM(B22:B24)</f>
        <v>3145000</v>
      </c>
      <c r="C25">
        <f>SUM(C22:C24)</f>
        <v>2927000</v>
      </c>
      <c r="E25">
        <f>SUM(E22:E24)</f>
        <v>6072000</v>
      </c>
      <c r="F25" s="116"/>
      <c r="G25" s="116"/>
    </row>
    <row r="26" spans="1:7">
      <c r="A26" s="258" t="s">
        <v>452</v>
      </c>
      <c r="C26">
        <v>-145000</v>
      </c>
      <c r="E26">
        <f>+C26+B26</f>
        <v>-145000</v>
      </c>
      <c r="F26" s="116">
        <f>+E26</f>
        <v>-145000</v>
      </c>
      <c r="G26" s="116"/>
    </row>
    <row r="27" spans="1:7">
      <c r="A27" s="258" t="s">
        <v>439</v>
      </c>
      <c r="B27" s="200">
        <v>-46000</v>
      </c>
      <c r="C27" s="200">
        <v>-36000</v>
      </c>
      <c r="E27" s="200">
        <f>+C27+B27</f>
        <v>-82000</v>
      </c>
      <c r="F27" s="116"/>
      <c r="G27" s="116">
        <f>+E27</f>
        <v>-82000</v>
      </c>
    </row>
    <row r="28" spans="1:7">
      <c r="A28" s="23" t="s">
        <v>453</v>
      </c>
      <c r="B28">
        <f>SUM(B25:B27)</f>
        <v>3099000</v>
      </c>
      <c r="C28">
        <f>SUM(C25:C27)</f>
        <v>2746000</v>
      </c>
      <c r="E28">
        <f>+C28+B28</f>
        <v>5845000</v>
      </c>
      <c r="F28" s="116"/>
      <c r="G28" s="116"/>
    </row>
    <row r="29" spans="1:7">
      <c r="A29" s="258" t="s">
        <v>525</v>
      </c>
      <c r="C29">
        <v>0</v>
      </c>
      <c r="E29">
        <f>+C29+B29</f>
        <v>0</v>
      </c>
      <c r="F29" s="116">
        <f>+E29</f>
        <v>0</v>
      </c>
      <c r="G29" s="116"/>
    </row>
    <row r="30" spans="1:7">
      <c r="A30" s="258" t="s">
        <v>439</v>
      </c>
      <c r="B30" s="200">
        <v>-19000</v>
      </c>
      <c r="C30" s="200">
        <v>-8000</v>
      </c>
      <c r="E30" s="200">
        <f>+C30+B30</f>
        <v>-27000</v>
      </c>
      <c r="F30" s="116"/>
      <c r="G30" s="116">
        <f>+E30</f>
        <v>-27000</v>
      </c>
    </row>
    <row r="31" spans="1:7">
      <c r="A31" s="23" t="s">
        <v>526</v>
      </c>
      <c r="B31">
        <f>SUM(B28:B30)</f>
        <v>3080000</v>
      </c>
      <c r="C31">
        <f>SUM(C28:C30)</f>
        <v>2738000</v>
      </c>
      <c r="E31">
        <f>SUM(E28:E30)</f>
        <v>5818000</v>
      </c>
      <c r="F31" s="116"/>
      <c r="G31" s="116"/>
    </row>
    <row r="32" spans="1:7">
      <c r="A32" s="258" t="s">
        <v>576</v>
      </c>
      <c r="C32">
        <v>-10000</v>
      </c>
      <c r="E32">
        <f>+C32+B32</f>
        <v>-10000</v>
      </c>
      <c r="F32" s="116">
        <f>+E32</f>
        <v>-10000</v>
      </c>
      <c r="G32" s="116"/>
    </row>
    <row r="33" spans="1:7">
      <c r="A33" s="258" t="s">
        <v>439</v>
      </c>
      <c r="B33" s="200">
        <v>-1095000</v>
      </c>
      <c r="C33" s="200">
        <v>-832000</v>
      </c>
      <c r="E33" s="200">
        <f>+C33+B33</f>
        <v>-1927000</v>
      </c>
      <c r="F33" s="116"/>
      <c r="G33" s="116">
        <f>+E33</f>
        <v>-1927000</v>
      </c>
    </row>
    <row r="34" spans="1:7">
      <c r="A34" s="23" t="s">
        <v>577</v>
      </c>
      <c r="B34">
        <f>SUM(B31:B33)</f>
        <v>1985000</v>
      </c>
      <c r="C34">
        <f>SUM(C31:C33)</f>
        <v>1896000</v>
      </c>
      <c r="E34">
        <f>SUM(E31:E33)</f>
        <v>3881000</v>
      </c>
    </row>
    <row r="35" spans="1:7">
      <c r="A35" s="258" t="s">
        <v>588</v>
      </c>
      <c r="C35">
        <v>-668000</v>
      </c>
      <c r="E35">
        <f>+C35+B35</f>
        <v>-668000</v>
      </c>
      <c r="F35" s="116">
        <f>+E35</f>
        <v>-668000</v>
      </c>
      <c r="G35" s="116"/>
    </row>
    <row r="36" spans="1:7">
      <c r="A36" s="258" t="s">
        <v>439</v>
      </c>
      <c r="B36" s="200">
        <v>-60000</v>
      </c>
      <c r="C36" s="200"/>
      <c r="E36" s="200">
        <f>+C36+B36</f>
        <v>-60000</v>
      </c>
      <c r="F36" s="116"/>
      <c r="G36" s="116">
        <f>+E36</f>
        <v>-60000</v>
      </c>
    </row>
    <row r="37" spans="1:7">
      <c r="A37" s="23" t="s">
        <v>589</v>
      </c>
      <c r="B37">
        <f>SUM(B34:B36)</f>
        <v>1925000</v>
      </c>
      <c r="C37">
        <f>SUM(C34:C36)</f>
        <v>1228000</v>
      </c>
      <c r="E37">
        <f>SUM(E34:E36)</f>
        <v>3153000</v>
      </c>
    </row>
    <row r="38" spans="1:7">
      <c r="A38" s="258" t="s">
        <v>596</v>
      </c>
      <c r="C38">
        <v>-340000</v>
      </c>
      <c r="E38">
        <f>+C38+B38</f>
        <v>-340000</v>
      </c>
      <c r="F38" s="116">
        <f>+E38</f>
        <v>-340000</v>
      </c>
      <c r="G38" s="116"/>
    </row>
    <row r="39" spans="1:7">
      <c r="A39" s="258" t="s">
        <v>439</v>
      </c>
      <c r="B39" s="200">
        <v>0</v>
      </c>
      <c r="C39" s="200">
        <v>0</v>
      </c>
      <c r="E39" s="200">
        <f>+C39+B39</f>
        <v>0</v>
      </c>
      <c r="F39" s="116"/>
      <c r="G39" s="116">
        <f>+E39</f>
        <v>0</v>
      </c>
    </row>
    <row r="40" spans="1:7">
      <c r="A40" s="23" t="s">
        <v>597</v>
      </c>
      <c r="B40">
        <f>SUM(B37:B39)</f>
        <v>1925000</v>
      </c>
      <c r="C40">
        <f>SUM(C37:C39)</f>
        <v>888000</v>
      </c>
      <c r="E40">
        <f>+C40+B40</f>
        <v>2813000</v>
      </c>
      <c r="F40" s="116"/>
      <c r="G40" s="116"/>
    </row>
    <row r="41" spans="1:7">
      <c r="A41" s="258" t="s">
        <v>626</v>
      </c>
      <c r="C41">
        <v>-437000</v>
      </c>
      <c r="E41">
        <f>+C41+B41</f>
        <v>-437000</v>
      </c>
      <c r="F41" s="116">
        <f>+E41</f>
        <v>-437000</v>
      </c>
      <c r="G41" s="116"/>
    </row>
    <row r="42" spans="1:7">
      <c r="A42" s="258" t="s">
        <v>439</v>
      </c>
      <c r="B42" s="200">
        <v>-27000</v>
      </c>
      <c r="C42" s="200">
        <v>0</v>
      </c>
      <c r="E42" s="200">
        <f>+C42+B42</f>
        <v>-27000</v>
      </c>
      <c r="F42" s="116"/>
      <c r="G42" s="116">
        <f>+E42</f>
        <v>-27000</v>
      </c>
    </row>
    <row r="43" spans="1:7">
      <c r="A43" s="23" t="s">
        <v>627</v>
      </c>
      <c r="B43">
        <f>SUM(B40:B42)</f>
        <v>1898000</v>
      </c>
      <c r="C43">
        <f>SUM(C40:C42)</f>
        <v>451000</v>
      </c>
      <c r="E43">
        <f>SUM(E40:E42)</f>
        <v>2349000</v>
      </c>
      <c r="F43" s="116"/>
      <c r="G43" s="116"/>
    </row>
    <row r="44" spans="1:7">
      <c r="A44" s="258" t="s">
        <v>629</v>
      </c>
      <c r="C44">
        <v>-49000</v>
      </c>
      <c r="E44">
        <f>+C44+B44</f>
        <v>-49000</v>
      </c>
      <c r="F44" s="116">
        <f>+E44</f>
        <v>-49000</v>
      </c>
      <c r="G44" s="116"/>
    </row>
    <row r="45" spans="1:7">
      <c r="A45" s="258" t="s">
        <v>439</v>
      </c>
      <c r="B45" s="200">
        <v>-92000</v>
      </c>
      <c r="C45" s="200">
        <v>0</v>
      </c>
      <c r="E45" s="200">
        <f>+C45+B45</f>
        <v>-92000</v>
      </c>
      <c r="F45" s="116"/>
      <c r="G45" s="116">
        <f>+E45</f>
        <v>-92000</v>
      </c>
    </row>
    <row r="46" spans="1:7">
      <c r="A46" s="23" t="s">
        <v>630</v>
      </c>
      <c r="B46">
        <f>SUM(B43:B45)</f>
        <v>1806000</v>
      </c>
      <c r="C46">
        <f>SUM(C43:C45)</f>
        <v>402000</v>
      </c>
      <c r="E46">
        <f>SUM(E43:E45)</f>
        <v>2208000</v>
      </c>
      <c r="F46" s="116"/>
      <c r="G46" s="116"/>
    </row>
    <row r="47" spans="1:7">
      <c r="A47" s="258" t="s">
        <v>635</v>
      </c>
      <c r="C47">
        <v>-64000</v>
      </c>
      <c r="E47">
        <f>+C47+B47</f>
        <v>-64000</v>
      </c>
      <c r="F47" s="116">
        <f>+E47</f>
        <v>-64000</v>
      </c>
      <c r="G47" s="116"/>
    </row>
    <row r="48" spans="1:7">
      <c r="A48" s="258" t="s">
        <v>439</v>
      </c>
      <c r="B48" s="200"/>
      <c r="C48" s="200">
        <v>0</v>
      </c>
      <c r="E48" s="200">
        <f>+C48+B48</f>
        <v>0</v>
      </c>
      <c r="F48" s="116"/>
      <c r="G48" s="116">
        <f>+E48</f>
        <v>0</v>
      </c>
    </row>
    <row r="49" spans="1:7">
      <c r="A49" s="23" t="s">
        <v>636</v>
      </c>
      <c r="B49">
        <f>SUM(B46:B48)</f>
        <v>1806000</v>
      </c>
      <c r="C49">
        <f>SUM(C46:C48)</f>
        <v>338000</v>
      </c>
      <c r="E49">
        <f>SUM(E46:E48)</f>
        <v>2144000</v>
      </c>
      <c r="F49" s="116"/>
      <c r="G49" s="116"/>
    </row>
    <row r="50" spans="1:7">
      <c r="A50" s="258" t="s">
        <v>644</v>
      </c>
      <c r="C50">
        <v>-34000</v>
      </c>
      <c r="E50">
        <f>+C50+B50</f>
        <v>-34000</v>
      </c>
      <c r="F50" s="116">
        <f>+E50</f>
        <v>-34000</v>
      </c>
      <c r="G50" s="116"/>
    </row>
    <row r="51" spans="1:7">
      <c r="A51" s="258" t="s">
        <v>439</v>
      </c>
      <c r="B51" s="200">
        <v>-21000</v>
      </c>
      <c r="C51" s="200">
        <v>0</v>
      </c>
      <c r="E51" s="200">
        <f>+C51+B51</f>
        <v>-21000</v>
      </c>
      <c r="F51" s="116"/>
      <c r="G51" s="116">
        <f>+E51</f>
        <v>-21000</v>
      </c>
    </row>
    <row r="52" spans="1:7">
      <c r="A52" s="23" t="s">
        <v>645</v>
      </c>
      <c r="B52">
        <f>SUM(B49:B51)</f>
        <v>1785000</v>
      </c>
      <c r="C52">
        <f>SUM(C49:C51)</f>
        <v>304000</v>
      </c>
      <c r="E52">
        <f>SUM(E49:E51)</f>
        <v>2089000</v>
      </c>
      <c r="F52" s="116"/>
      <c r="G52" s="116"/>
    </row>
    <row r="53" spans="1:7">
      <c r="A53" s="258" t="s">
        <v>660</v>
      </c>
      <c r="C53">
        <v>0</v>
      </c>
      <c r="E53">
        <f>+C53+B53</f>
        <v>0</v>
      </c>
      <c r="F53" s="116">
        <f>+E53</f>
        <v>0</v>
      </c>
      <c r="G53" s="116"/>
    </row>
    <row r="54" spans="1:7">
      <c r="A54" s="258" t="s">
        <v>439</v>
      </c>
      <c r="B54" s="200">
        <v>-29000</v>
      </c>
      <c r="C54" s="200">
        <v>0</v>
      </c>
      <c r="E54" s="200">
        <f>+C54+B54</f>
        <v>-29000</v>
      </c>
      <c r="F54" s="116"/>
      <c r="G54" s="116">
        <f>+E54</f>
        <v>-29000</v>
      </c>
    </row>
    <row r="55" spans="1:7">
      <c r="A55" s="23" t="s">
        <v>661</v>
      </c>
      <c r="B55">
        <f>SUM(B52:B54)</f>
        <v>1756000</v>
      </c>
      <c r="C55">
        <f>SUM(C52:C54)</f>
        <v>304000</v>
      </c>
      <c r="E55">
        <f>SUM(E52:E54)</f>
        <v>2060000</v>
      </c>
      <c r="F55" s="116"/>
      <c r="G55" s="116"/>
    </row>
    <row r="56" spans="1:7">
      <c r="A56" s="258" t="s">
        <v>682</v>
      </c>
      <c r="C56">
        <v>-250000</v>
      </c>
      <c r="E56">
        <f>+C56+B56</f>
        <v>-250000</v>
      </c>
      <c r="F56" s="116">
        <f>+E56</f>
        <v>-250000</v>
      </c>
      <c r="G56" s="116"/>
    </row>
    <row r="57" spans="1:7">
      <c r="A57" s="258" t="s">
        <v>439</v>
      </c>
      <c r="B57" s="200">
        <v>-6000</v>
      </c>
      <c r="C57" s="200">
        <v>0</v>
      </c>
      <c r="E57" s="200">
        <f>+C57+B57</f>
        <v>-6000</v>
      </c>
      <c r="F57" s="116"/>
      <c r="G57" s="116">
        <f>+E57</f>
        <v>-6000</v>
      </c>
    </row>
    <row r="58" spans="1:7">
      <c r="A58" s="23" t="s">
        <v>683</v>
      </c>
      <c r="B58">
        <f>SUM(B55:B57)</f>
        <v>1750000</v>
      </c>
      <c r="C58">
        <f>SUM(C55:C57)</f>
        <v>54000</v>
      </c>
      <c r="E58">
        <f>SUM(E55:E57)</f>
        <v>1804000</v>
      </c>
      <c r="F58" s="116"/>
      <c r="G58" s="116"/>
    </row>
    <row r="59" spans="1:7">
      <c r="A59" s="258" t="s">
        <v>686</v>
      </c>
      <c r="C59">
        <v>-14000</v>
      </c>
      <c r="E59">
        <f>+C59+B59</f>
        <v>-14000</v>
      </c>
      <c r="F59" s="116">
        <f>+E59</f>
        <v>-14000</v>
      </c>
      <c r="G59" s="116"/>
    </row>
    <row r="60" spans="1:7">
      <c r="A60" s="258" t="s">
        <v>439</v>
      </c>
      <c r="B60" s="200">
        <v>-59000</v>
      </c>
      <c r="C60" s="200">
        <v>0</v>
      </c>
      <c r="E60" s="200">
        <f>+C60+B60</f>
        <v>-59000</v>
      </c>
      <c r="F60" s="116"/>
      <c r="G60" s="116">
        <f>+E60</f>
        <v>-59000</v>
      </c>
    </row>
    <row r="61" spans="1:7">
      <c r="A61" s="23" t="s">
        <v>687</v>
      </c>
      <c r="B61">
        <f>SUM(B58:B60)</f>
        <v>1691000</v>
      </c>
      <c r="C61">
        <f>SUM(C58:C60)</f>
        <v>40000</v>
      </c>
      <c r="E61">
        <f>SUM(E58:E60)</f>
        <v>1731000</v>
      </c>
      <c r="F61" s="116"/>
      <c r="G61" s="116"/>
    </row>
    <row r="62" spans="1:7">
      <c r="A62" s="258" t="s">
        <v>688</v>
      </c>
      <c r="C62">
        <v>0</v>
      </c>
      <c r="E62">
        <f>+C62+B62</f>
        <v>0</v>
      </c>
      <c r="F62" s="116">
        <f>+E62</f>
        <v>0</v>
      </c>
      <c r="G62" s="116"/>
    </row>
    <row r="63" spans="1:7">
      <c r="A63" s="258" t="s">
        <v>439</v>
      </c>
      <c r="B63" s="200">
        <v>0</v>
      </c>
      <c r="C63" s="200">
        <v>0</v>
      </c>
      <c r="E63" s="200">
        <f>+C63+B63</f>
        <v>0</v>
      </c>
      <c r="F63" s="116"/>
      <c r="G63" s="116">
        <f>+E63</f>
        <v>0</v>
      </c>
    </row>
    <row r="64" spans="1:7">
      <c r="A64" s="23" t="s">
        <v>689</v>
      </c>
      <c r="B64">
        <f>SUM(B61:B63)</f>
        <v>1691000</v>
      </c>
      <c r="C64">
        <f>SUM(C61:C63)</f>
        <v>40000</v>
      </c>
      <c r="E64">
        <f>SUM(E61:E63)</f>
        <v>1731000</v>
      </c>
      <c r="F64" s="116"/>
      <c r="G64" s="116"/>
    </row>
    <row r="65" spans="1:7">
      <c r="A65" s="258" t="s">
        <v>712</v>
      </c>
      <c r="C65">
        <v>-2000</v>
      </c>
      <c r="E65">
        <f>+C65+B65</f>
        <v>-2000</v>
      </c>
      <c r="F65" s="116">
        <f>+E65</f>
        <v>-2000</v>
      </c>
      <c r="G65" s="116"/>
    </row>
    <row r="66" spans="1:7">
      <c r="A66" s="258" t="s">
        <v>439</v>
      </c>
      <c r="B66" s="200">
        <v>-7000</v>
      </c>
      <c r="C66" s="200">
        <v>0</v>
      </c>
      <c r="E66" s="200">
        <f>+C66+B66</f>
        <v>-7000</v>
      </c>
      <c r="F66" s="116"/>
      <c r="G66" s="116">
        <f>+E66</f>
        <v>-7000</v>
      </c>
    </row>
    <row r="67" spans="1:7">
      <c r="A67" s="23" t="s">
        <v>713</v>
      </c>
      <c r="B67">
        <f>SUM(B64:B66)</f>
        <v>1684000</v>
      </c>
      <c r="C67">
        <f>SUM(C64:C66)</f>
        <v>38000</v>
      </c>
      <c r="E67">
        <f>SUM(E64:E66)</f>
        <v>1722000</v>
      </c>
      <c r="F67" s="116"/>
      <c r="G67" s="116"/>
    </row>
    <row r="68" spans="1:7">
      <c r="A68" s="258" t="s">
        <v>716</v>
      </c>
      <c r="C68">
        <v>0</v>
      </c>
      <c r="E68">
        <f>+C68+B68</f>
        <v>0</v>
      </c>
      <c r="F68" s="116">
        <f>+E68</f>
        <v>0</v>
      </c>
      <c r="G68" s="116"/>
    </row>
    <row r="69" spans="1:7">
      <c r="A69" s="258" t="s">
        <v>439</v>
      </c>
      <c r="B69" s="200">
        <v>-121000</v>
      </c>
      <c r="C69" s="200">
        <v>0</v>
      </c>
      <c r="E69" s="200">
        <f>+C69+B69</f>
        <v>-121000</v>
      </c>
      <c r="F69" s="116"/>
      <c r="G69" s="116">
        <f>+E69</f>
        <v>-121000</v>
      </c>
    </row>
    <row r="70" spans="1:7">
      <c r="A70" s="23" t="s">
        <v>717</v>
      </c>
      <c r="B70">
        <f>SUM(B67:B69)</f>
        <v>1563000</v>
      </c>
      <c r="C70">
        <f>SUM(C67:C69)</f>
        <v>38000</v>
      </c>
      <c r="E70">
        <f>SUM(E67:E69)</f>
        <v>1601000</v>
      </c>
      <c r="F70" s="116"/>
      <c r="G70" s="116"/>
    </row>
    <row r="71" spans="1:7">
      <c r="A71" s="258" t="s">
        <v>719</v>
      </c>
      <c r="C71">
        <v>0</v>
      </c>
      <c r="E71">
        <f>+C71+B71</f>
        <v>0</v>
      </c>
      <c r="F71" s="116">
        <f>+E71</f>
        <v>0</v>
      </c>
      <c r="G71" s="116"/>
    </row>
    <row r="72" spans="1:7">
      <c r="A72" s="258" t="s">
        <v>439</v>
      </c>
      <c r="B72" s="200">
        <v>-18000</v>
      </c>
      <c r="C72" s="200">
        <v>0</v>
      </c>
      <c r="E72" s="200">
        <f>+C72+B72</f>
        <v>-18000</v>
      </c>
      <c r="F72" s="116"/>
      <c r="G72" s="116">
        <f>+E72</f>
        <v>-18000</v>
      </c>
    </row>
    <row r="73" spans="1:7">
      <c r="A73" s="23" t="s">
        <v>720</v>
      </c>
      <c r="B73">
        <f>SUM(B70:B72)</f>
        <v>1545000</v>
      </c>
      <c r="C73">
        <f>SUM(C70:C72)</f>
        <v>38000</v>
      </c>
      <c r="E73">
        <f>SUM(E70:E72)</f>
        <v>1583000</v>
      </c>
      <c r="F73" s="116"/>
      <c r="G73" s="116"/>
    </row>
    <row r="74" spans="1:7">
      <c r="A74" s="258" t="s">
        <v>730</v>
      </c>
      <c r="C74">
        <v>0</v>
      </c>
      <c r="E74">
        <f>+C74+B74</f>
        <v>0</v>
      </c>
      <c r="F74" s="116">
        <f>+E74</f>
        <v>0</v>
      </c>
      <c r="G74" s="116"/>
    </row>
    <row r="75" spans="1:7">
      <c r="A75" s="258" t="s">
        <v>439</v>
      </c>
      <c r="B75" s="200">
        <v>-46000</v>
      </c>
      <c r="C75" s="200">
        <v>-21000</v>
      </c>
      <c r="E75" s="200">
        <f>+C75+B75</f>
        <v>-67000</v>
      </c>
      <c r="F75" s="116"/>
      <c r="G75" s="116">
        <f>+E75</f>
        <v>-67000</v>
      </c>
    </row>
    <row r="76" spans="1:7">
      <c r="A76" s="23" t="s">
        <v>731</v>
      </c>
      <c r="B76">
        <f>SUM(B73:B75)</f>
        <v>1499000</v>
      </c>
      <c r="C76">
        <f>SUM(C73:C75)</f>
        <v>17000</v>
      </c>
      <c r="E76">
        <f>SUM(E73:E75)</f>
        <v>1516000</v>
      </c>
      <c r="F76" s="116"/>
      <c r="G76" s="116"/>
    </row>
    <row r="77" spans="1:7">
      <c r="A77" s="258" t="s">
        <v>732</v>
      </c>
      <c r="C77">
        <v>0</v>
      </c>
      <c r="E77">
        <f>+C77+B77</f>
        <v>0</v>
      </c>
      <c r="F77" s="116">
        <f>+E77</f>
        <v>0</v>
      </c>
      <c r="G77" s="116"/>
    </row>
    <row r="78" spans="1:7">
      <c r="A78" s="258" t="s">
        <v>439</v>
      </c>
      <c r="B78" s="200">
        <v>-17000</v>
      </c>
      <c r="C78" s="200">
        <v>0</v>
      </c>
      <c r="E78" s="200">
        <f>+C78+B78</f>
        <v>-17000</v>
      </c>
      <c r="F78" s="116"/>
      <c r="G78" s="116">
        <f>+E78</f>
        <v>-17000</v>
      </c>
    </row>
    <row r="79" spans="1:7">
      <c r="A79" s="23" t="s">
        <v>733</v>
      </c>
      <c r="B79">
        <f>SUM(B76:B78)</f>
        <v>1482000</v>
      </c>
      <c r="C79">
        <f>SUM(C76:C78)</f>
        <v>17000</v>
      </c>
      <c r="E79">
        <f>SUM(E76:E78)</f>
        <v>1499000</v>
      </c>
      <c r="F79" s="116"/>
      <c r="G79" s="116"/>
    </row>
    <row r="80" spans="1:7">
      <c r="A80" s="258" t="s">
        <v>768</v>
      </c>
      <c r="C80">
        <v>0</v>
      </c>
      <c r="E80">
        <f>+C80+B80</f>
        <v>0</v>
      </c>
      <c r="F80" s="116">
        <f>+E80</f>
        <v>0</v>
      </c>
      <c r="G80" s="116"/>
    </row>
    <row r="81" spans="1:8">
      <c r="A81" s="258" t="s">
        <v>439</v>
      </c>
      <c r="B81" s="200">
        <v>-22000</v>
      </c>
      <c r="C81" s="200">
        <v>0</v>
      </c>
      <c r="E81" s="200">
        <f>+C81+B81</f>
        <v>-22000</v>
      </c>
      <c r="F81" s="116"/>
      <c r="G81" s="116">
        <f>+E81</f>
        <v>-22000</v>
      </c>
    </row>
    <row r="82" spans="1:8">
      <c r="A82" s="23" t="s">
        <v>769</v>
      </c>
      <c r="B82">
        <f>SUM(B79:B81)</f>
        <v>1460000</v>
      </c>
      <c r="C82">
        <f>SUM(C79:C81)</f>
        <v>17000</v>
      </c>
      <c r="E82">
        <f>SUM(E79:E81)</f>
        <v>1477000</v>
      </c>
      <c r="F82" s="116"/>
      <c r="G82" s="116"/>
    </row>
    <row r="83" spans="1:8">
      <c r="A83" s="258" t="s">
        <v>780</v>
      </c>
      <c r="C83">
        <v>0</v>
      </c>
      <c r="E83">
        <f>+C83+B83</f>
        <v>0</v>
      </c>
      <c r="F83" s="116">
        <f>+E83</f>
        <v>0</v>
      </c>
      <c r="G83" s="116"/>
    </row>
    <row r="84" spans="1:8">
      <c r="A84" s="258" t="s">
        <v>439</v>
      </c>
      <c r="B84" s="200">
        <v>-13000</v>
      </c>
      <c r="C84" s="200">
        <v>0</v>
      </c>
      <c r="E84" s="200">
        <f>+C84+B84</f>
        <v>-13000</v>
      </c>
      <c r="F84" s="116"/>
      <c r="G84" s="116">
        <f>+E84</f>
        <v>-13000</v>
      </c>
    </row>
    <row r="85" spans="1:8">
      <c r="A85" s="23" t="s">
        <v>781</v>
      </c>
      <c r="B85">
        <f>SUM(B82:B84)</f>
        <v>1447000</v>
      </c>
      <c r="C85">
        <f>SUM(C82:C84)</f>
        <v>17000</v>
      </c>
      <c r="E85">
        <f>SUM(E82:E84)</f>
        <v>1464000</v>
      </c>
      <c r="F85" s="116"/>
      <c r="G85" s="116"/>
    </row>
    <row r="86" spans="1:8">
      <c r="A86" s="258" t="s">
        <v>784</v>
      </c>
      <c r="C86">
        <v>0</v>
      </c>
      <c r="E86">
        <f>+C86+B86</f>
        <v>0</v>
      </c>
      <c r="F86" s="116">
        <f>+E86</f>
        <v>0</v>
      </c>
      <c r="G86" s="116"/>
    </row>
    <row r="87" spans="1:8">
      <c r="A87" s="258" t="s">
        <v>439</v>
      </c>
      <c r="B87" s="200">
        <v>-20000</v>
      </c>
      <c r="C87" s="200">
        <v>0</v>
      </c>
      <c r="E87" s="200">
        <f>+C87+B87</f>
        <v>-20000</v>
      </c>
      <c r="F87" s="116"/>
      <c r="G87" s="116">
        <f>+E87</f>
        <v>-20000</v>
      </c>
    </row>
    <row r="88" spans="1:8">
      <c r="A88" s="23" t="s">
        <v>785</v>
      </c>
      <c r="B88">
        <f>SUM(B85:B87)</f>
        <v>1427000</v>
      </c>
      <c r="C88">
        <f>SUM(C85:C87)</f>
        <v>17000</v>
      </c>
      <c r="E88">
        <f>SUM(E85:E87)</f>
        <v>1444000</v>
      </c>
      <c r="F88" s="116"/>
      <c r="G88" s="116"/>
      <c r="H88" s="116"/>
    </row>
    <row r="89" spans="1:8">
      <c r="A89" s="436" t="s">
        <v>790</v>
      </c>
      <c r="C89">
        <v>0</v>
      </c>
      <c r="E89">
        <f>+C89+B89</f>
        <v>0</v>
      </c>
      <c r="F89" s="116">
        <f>+E89</f>
        <v>0</v>
      </c>
      <c r="G89" s="116"/>
    </row>
    <row r="90" spans="1:8">
      <c r="A90" s="258" t="s">
        <v>439</v>
      </c>
      <c r="B90" s="200">
        <v>-26000</v>
      </c>
      <c r="C90" s="200">
        <v>0</v>
      </c>
      <c r="E90" s="200">
        <f>+C90+B90</f>
        <v>-26000</v>
      </c>
      <c r="F90" s="116"/>
      <c r="G90" s="116">
        <f>+E90</f>
        <v>-26000</v>
      </c>
    </row>
    <row r="91" spans="1:8">
      <c r="A91" s="23" t="s">
        <v>791</v>
      </c>
      <c r="B91">
        <f>SUM(B88:B90)</f>
        <v>1401000</v>
      </c>
      <c r="C91">
        <f>SUM(C88:C90)</f>
        <v>17000</v>
      </c>
      <c r="E91">
        <f>SUM(E88:E90)</f>
        <v>1418000</v>
      </c>
      <c r="F91" s="116"/>
      <c r="G91" s="116"/>
    </row>
    <row r="92" spans="1:8">
      <c r="A92" s="258" t="s">
        <v>809</v>
      </c>
      <c r="C92">
        <v>0</v>
      </c>
      <c r="E92">
        <f>+C92+B92</f>
        <v>0</v>
      </c>
      <c r="F92" s="116">
        <f>+E92</f>
        <v>0</v>
      </c>
      <c r="G92" s="116"/>
    </row>
    <row r="93" spans="1:8">
      <c r="A93" s="258" t="s">
        <v>439</v>
      </c>
      <c r="B93" s="200">
        <v>-13000</v>
      </c>
      <c r="C93" s="200">
        <v>0</v>
      </c>
      <c r="E93" s="200">
        <f>+C93+B93</f>
        <v>-13000</v>
      </c>
      <c r="F93" s="116"/>
      <c r="G93" s="116">
        <f>+E93</f>
        <v>-13000</v>
      </c>
    </row>
    <row r="94" spans="1:8">
      <c r="A94" s="23" t="s">
        <v>810</v>
      </c>
      <c r="B94">
        <f>SUM(B91:B93)</f>
        <v>1388000</v>
      </c>
      <c r="C94">
        <f>SUM(C91:C93)</f>
        <v>17000</v>
      </c>
      <c r="E94">
        <f>SUM(E91:E93)</f>
        <v>1405000</v>
      </c>
      <c r="F94" s="116"/>
      <c r="G94" s="116"/>
    </row>
    <row r="95" spans="1:8">
      <c r="A95" s="258" t="s">
        <v>813</v>
      </c>
      <c r="C95">
        <v>0</v>
      </c>
      <c r="E95">
        <f>+C95+B95</f>
        <v>0</v>
      </c>
      <c r="F95" s="116">
        <f>+E95</f>
        <v>0</v>
      </c>
      <c r="G95" s="116"/>
    </row>
    <row r="96" spans="1:8">
      <c r="A96" s="258" t="s">
        <v>439</v>
      </c>
      <c r="B96" s="200">
        <v>-8000</v>
      </c>
      <c r="C96" s="200">
        <v>0</v>
      </c>
      <c r="E96" s="200">
        <f>+C96+B96</f>
        <v>-8000</v>
      </c>
      <c r="F96" s="116"/>
      <c r="G96" s="116">
        <f>+E96</f>
        <v>-8000</v>
      </c>
    </row>
    <row r="97" spans="1:8">
      <c r="A97" s="23" t="s">
        <v>814</v>
      </c>
      <c r="B97">
        <f>SUM(B94:B96)</f>
        <v>1380000</v>
      </c>
      <c r="C97">
        <f>SUM(C94:C96)</f>
        <v>17000</v>
      </c>
      <c r="E97">
        <f>SUM(E94:E96)</f>
        <v>1397000</v>
      </c>
      <c r="F97" s="116"/>
      <c r="G97" s="116"/>
      <c r="H97" s="116"/>
    </row>
    <row r="98" spans="1:8">
      <c r="A98" s="258" t="s">
        <v>816</v>
      </c>
      <c r="C98">
        <v>0</v>
      </c>
      <c r="E98">
        <f>+C98+B98</f>
        <v>0</v>
      </c>
      <c r="F98" s="116">
        <f>+E98</f>
        <v>0</v>
      </c>
      <c r="G98" s="116"/>
    </row>
    <row r="99" spans="1:8">
      <c r="A99" s="258" t="s">
        <v>439</v>
      </c>
      <c r="B99" s="200"/>
      <c r="C99" s="200">
        <v>0</v>
      </c>
      <c r="E99" s="200">
        <f>+C99+B99</f>
        <v>0</v>
      </c>
      <c r="F99" s="116"/>
      <c r="G99" s="116">
        <f>+E99</f>
        <v>0</v>
      </c>
    </row>
    <row r="100" spans="1:8">
      <c r="A100" s="23" t="s">
        <v>817</v>
      </c>
      <c r="B100">
        <f>SUM(B97:B99)</f>
        <v>1380000</v>
      </c>
      <c r="C100">
        <f>SUM(C97:C99)</f>
        <v>17000</v>
      </c>
      <c r="E100">
        <f>SUM(E97:E99)</f>
        <v>1397000</v>
      </c>
      <c r="F100" s="116"/>
      <c r="G100" s="116"/>
    </row>
    <row r="101" spans="1:8">
      <c r="A101" s="258" t="s">
        <v>823</v>
      </c>
      <c r="C101">
        <v>0</v>
      </c>
      <c r="E101">
        <f>+C101+B101</f>
        <v>0</v>
      </c>
      <c r="F101" s="116">
        <f>+E101</f>
        <v>0</v>
      </c>
      <c r="G101" s="116"/>
    </row>
    <row r="102" spans="1:8">
      <c r="A102" s="258" t="s">
        <v>439</v>
      </c>
      <c r="B102" s="200">
        <v>-19000</v>
      </c>
      <c r="C102" s="200">
        <v>0</v>
      </c>
      <c r="E102" s="200">
        <f>+C102+B102</f>
        <v>-19000</v>
      </c>
      <c r="F102" s="116"/>
      <c r="G102" s="116">
        <f>+E102</f>
        <v>-19000</v>
      </c>
    </row>
    <row r="103" spans="1:8">
      <c r="A103" s="23" t="s">
        <v>824</v>
      </c>
      <c r="B103">
        <f>SUM(B100:B102)</f>
        <v>1361000</v>
      </c>
      <c r="C103">
        <f>SUM(C100:C102)</f>
        <v>17000</v>
      </c>
      <c r="E103">
        <f>SUM(E100:E102)</f>
        <v>1378000</v>
      </c>
      <c r="F103" s="377">
        <f>SUM(F7:F102)</f>
        <v>-2069000</v>
      </c>
      <c r="G103" s="378">
        <f>SUM(G7:G102)</f>
        <v>-4670000</v>
      </c>
    </row>
  </sheetData>
  <phoneticPr fontId="0" type="noConversion"/>
  <pageMargins left="0.75" right="0.75" top="1" bottom="1" header="0.5" footer="0.5"/>
  <pageSetup scale="50" orientation="portrait" horizontalDpi="1200" verticalDpi="1200" r:id="rId1"/>
  <headerFooter alignWithMargins="0">
    <oddFooter>&amp;L&amp;D&amp;F&amp;A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 enableFormatConditionsCalculation="0">
    <tabColor theme="1" tint="0.499984740745262"/>
    <pageSetUpPr fitToPage="1"/>
  </sheetPr>
  <dimension ref="A1:IV63"/>
  <sheetViews>
    <sheetView workbookViewId="0"/>
  </sheetViews>
  <sheetFormatPr defaultRowHeight="12.75"/>
  <cols>
    <col min="1" max="18" width="9.140625" style="25"/>
    <col min="19" max="19" width="9.140625" style="201"/>
    <col min="20" max="215" width="9.140625" style="25"/>
    <col min="222" max="16384" width="9.140625" style="25"/>
  </cols>
  <sheetData>
    <row r="1" spans="1:256">
      <c r="A1" s="32" t="s">
        <v>327</v>
      </c>
      <c r="B1" s="32"/>
      <c r="C1" s="32"/>
      <c r="D1" s="32"/>
      <c r="E1" s="32"/>
      <c r="F1" s="30"/>
      <c r="G1" s="30"/>
      <c r="H1" s="30"/>
      <c r="I1" s="30"/>
      <c r="J1" s="30"/>
      <c r="K1" s="30"/>
      <c r="L1" s="30"/>
      <c r="M1" s="445"/>
      <c r="N1" s="445"/>
      <c r="O1" s="445"/>
      <c r="P1" s="445"/>
      <c r="Q1" s="445"/>
      <c r="R1" s="445"/>
      <c r="S1" s="38"/>
      <c r="T1" s="30"/>
      <c r="U1" s="30"/>
      <c r="V1" s="30"/>
      <c r="W1" s="30"/>
      <c r="X1" s="30"/>
      <c r="Y1" s="30"/>
      <c r="Z1" s="30"/>
      <c r="AA1" s="445"/>
      <c r="AB1" s="445"/>
      <c r="AC1" s="445"/>
      <c r="AD1" s="445"/>
      <c r="AE1" s="445"/>
      <c r="AF1" s="445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</row>
    <row r="2" spans="1:256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445"/>
      <c r="N2" s="445"/>
      <c r="O2" s="445"/>
      <c r="P2" s="445"/>
      <c r="Q2" s="445"/>
      <c r="R2" s="445"/>
      <c r="S2" s="38"/>
      <c r="T2" s="30"/>
      <c r="U2" s="30"/>
      <c r="V2" s="30"/>
      <c r="W2" s="30"/>
      <c r="X2" s="30"/>
      <c r="Y2" s="30"/>
      <c r="Z2" s="30"/>
      <c r="AA2" s="445"/>
      <c r="AB2" s="445"/>
      <c r="AC2" s="445"/>
      <c r="AD2" s="445"/>
      <c r="AE2" s="445"/>
      <c r="AF2" s="445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</row>
    <row r="3" spans="1:256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445"/>
      <c r="N3" s="445"/>
      <c r="O3" s="445"/>
      <c r="P3" s="445"/>
      <c r="Q3" s="445"/>
      <c r="R3" s="445"/>
      <c r="S3" s="38"/>
      <c r="T3" s="30"/>
      <c r="U3" s="30"/>
      <c r="V3" s="30"/>
      <c r="W3" s="30"/>
      <c r="X3" s="30"/>
      <c r="Y3" s="30"/>
      <c r="Z3" s="30"/>
      <c r="AA3" s="445"/>
      <c r="AB3" s="445"/>
      <c r="AC3" s="445"/>
      <c r="AD3" s="445"/>
      <c r="AE3" s="445"/>
      <c r="AF3" s="445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</row>
    <row r="4" spans="1:256">
      <c r="A4" s="30"/>
      <c r="B4" s="30"/>
      <c r="C4" s="30"/>
      <c r="D4" s="30"/>
      <c r="E4" s="30"/>
      <c r="F4" s="448" t="s">
        <v>2522</v>
      </c>
      <c r="G4" s="284"/>
      <c r="H4" s="284"/>
      <c r="I4" s="284"/>
      <c r="J4" s="284"/>
      <c r="K4" s="195"/>
      <c r="L4" s="30"/>
      <c r="M4" s="448" t="s">
        <v>2522</v>
      </c>
      <c r="N4" s="549"/>
      <c r="O4" s="549"/>
      <c r="P4" s="549"/>
      <c r="Q4" s="549"/>
      <c r="R4" s="550"/>
      <c r="S4" s="38"/>
      <c r="T4" s="445" t="s">
        <v>2523</v>
      </c>
      <c r="U4" s="30"/>
      <c r="V4" s="30"/>
      <c r="W4" s="30"/>
      <c r="X4" s="30"/>
      <c r="Y4" s="30"/>
      <c r="Z4" s="30"/>
      <c r="AA4" s="448" t="s">
        <v>2497</v>
      </c>
      <c r="AB4" s="549"/>
      <c r="AC4" s="549"/>
      <c r="AD4" s="549"/>
      <c r="AE4" s="549"/>
      <c r="AF4" s="550"/>
      <c r="AG4" s="30"/>
      <c r="AH4" s="448" t="s">
        <v>2475</v>
      </c>
      <c r="AI4" s="284"/>
      <c r="AJ4" s="284"/>
      <c r="AK4" s="284"/>
      <c r="AL4" s="284"/>
      <c r="AM4" s="195"/>
      <c r="AN4" s="30"/>
      <c r="AO4" s="448" t="s">
        <v>834</v>
      </c>
      <c r="AP4" s="284"/>
      <c r="AQ4" s="284"/>
      <c r="AR4" s="284"/>
      <c r="AS4" s="284"/>
      <c r="AT4" s="195"/>
      <c r="AU4" s="30"/>
      <c r="AV4" s="448" t="s">
        <v>825</v>
      </c>
      <c r="AW4" s="284"/>
      <c r="AX4" s="284"/>
      <c r="AY4" s="284"/>
      <c r="AZ4" s="284"/>
      <c r="BA4" s="195"/>
      <c r="BB4" s="30"/>
      <c r="BC4" s="448" t="s">
        <v>821</v>
      </c>
      <c r="BD4" s="284"/>
      <c r="BE4" s="284"/>
      <c r="BF4" s="284"/>
      <c r="BG4" s="284"/>
      <c r="BH4" s="195"/>
      <c r="BI4" s="30"/>
      <c r="BJ4" s="194" t="s">
        <v>815</v>
      </c>
      <c r="BK4" s="284"/>
      <c r="BL4" s="284"/>
      <c r="BM4" s="284"/>
      <c r="BN4" s="284"/>
      <c r="BO4" s="195"/>
      <c r="BP4" s="30"/>
      <c r="BQ4" s="194" t="s">
        <v>811</v>
      </c>
      <c r="BR4" s="284"/>
      <c r="BS4" s="284"/>
      <c r="BT4" s="284"/>
      <c r="BU4" s="284"/>
      <c r="BV4" s="195"/>
      <c r="BW4" s="30"/>
      <c r="BX4" s="194" t="s">
        <v>792</v>
      </c>
      <c r="BY4" s="284"/>
      <c r="BZ4" s="284"/>
      <c r="CA4" s="284"/>
      <c r="CB4" s="284"/>
      <c r="CC4" s="195"/>
      <c r="CD4" s="30"/>
      <c r="CE4" s="194" t="s">
        <v>787</v>
      </c>
      <c r="CF4" s="284"/>
      <c r="CG4" s="284"/>
      <c r="CH4" s="284"/>
      <c r="CI4" s="284"/>
      <c r="CJ4" s="195"/>
      <c r="CK4" s="30"/>
      <c r="CL4" s="194" t="s">
        <v>782</v>
      </c>
      <c r="CM4" s="284"/>
      <c r="CN4" s="284"/>
      <c r="CO4" s="284"/>
      <c r="CP4" s="284"/>
      <c r="CQ4" s="195"/>
      <c r="CR4" s="30"/>
      <c r="CS4" s="194" t="s">
        <v>774</v>
      </c>
      <c r="CT4" s="284"/>
      <c r="CU4" s="284"/>
      <c r="CV4" s="284"/>
      <c r="CW4" s="284"/>
      <c r="CX4" s="195"/>
      <c r="CY4" s="30"/>
      <c r="CZ4" s="194" t="s">
        <v>739</v>
      </c>
      <c r="DA4" s="284"/>
      <c r="DB4" s="284"/>
      <c r="DC4" s="284"/>
      <c r="DD4" s="284"/>
      <c r="DE4" s="195"/>
      <c r="DF4" s="30"/>
      <c r="DG4" s="194" t="s">
        <v>726</v>
      </c>
      <c r="DH4" s="284"/>
      <c r="DI4" s="284"/>
      <c r="DJ4" s="284"/>
      <c r="DK4" s="284"/>
      <c r="DL4" s="195"/>
      <c r="DM4" s="30"/>
      <c r="DN4" s="194" t="s">
        <v>693</v>
      </c>
      <c r="DO4" s="284"/>
      <c r="DP4" s="284"/>
      <c r="DQ4" s="284"/>
      <c r="DR4" s="284"/>
      <c r="DS4" s="195"/>
      <c r="DT4" s="30"/>
      <c r="DU4" s="194" t="s">
        <v>692</v>
      </c>
      <c r="DV4" s="284"/>
      <c r="DW4" s="284"/>
      <c r="DX4" s="284"/>
      <c r="DY4" s="284"/>
      <c r="DZ4" s="195"/>
      <c r="EA4" s="30"/>
      <c r="EB4" s="194" t="s">
        <v>715</v>
      </c>
      <c r="EC4" s="284"/>
      <c r="ED4" s="284"/>
      <c r="EE4" s="284"/>
      <c r="EF4" s="284"/>
      <c r="EG4" s="195"/>
      <c r="EH4" s="30"/>
      <c r="EI4" s="194" t="s">
        <v>690</v>
      </c>
      <c r="EJ4" s="284"/>
      <c r="EK4" s="284"/>
      <c r="EL4" s="284"/>
      <c r="EM4" s="284"/>
      <c r="EN4" s="195"/>
      <c r="EO4" s="30"/>
      <c r="EP4" s="194" t="s">
        <v>655</v>
      </c>
      <c r="EQ4" s="284"/>
      <c r="ER4" s="284"/>
      <c r="ES4" s="284"/>
      <c r="ET4" s="284"/>
      <c r="EU4" s="195"/>
      <c r="EV4" s="30"/>
      <c r="EW4" s="194" t="s">
        <v>654</v>
      </c>
      <c r="EX4" s="284"/>
      <c r="EY4" s="284"/>
      <c r="EZ4" s="284"/>
      <c r="FA4" s="284"/>
      <c r="FB4" s="195"/>
      <c r="FC4" s="30"/>
      <c r="FD4" s="194" t="s">
        <v>681</v>
      </c>
      <c r="FE4" s="284"/>
      <c r="FF4" s="284"/>
      <c r="FG4" s="284"/>
      <c r="FH4" s="284"/>
      <c r="FI4" s="195"/>
      <c r="FJ4" s="30"/>
      <c r="FK4" s="194" t="s">
        <v>646</v>
      </c>
      <c r="FL4" s="284"/>
      <c r="FM4" s="284"/>
      <c r="FN4" s="284"/>
      <c r="FO4" s="284"/>
      <c r="FP4" s="195"/>
      <c r="FQ4" s="30"/>
      <c r="FR4" s="194" t="s">
        <v>618</v>
      </c>
      <c r="FS4" s="284"/>
      <c r="FT4" s="284"/>
      <c r="FU4" s="284"/>
      <c r="FV4" s="284"/>
      <c r="FW4" s="195"/>
      <c r="FX4" s="30"/>
      <c r="FY4" s="194" t="s">
        <v>617</v>
      </c>
      <c r="FZ4" s="284"/>
      <c r="GA4" s="284"/>
      <c r="GB4" s="284"/>
      <c r="GC4" s="284"/>
      <c r="GD4" s="195"/>
      <c r="GE4" s="30"/>
      <c r="GF4" s="194" t="s">
        <v>628</v>
      </c>
      <c r="GG4" s="284"/>
      <c r="GH4" s="284"/>
      <c r="GI4" s="284"/>
      <c r="GJ4" s="284"/>
      <c r="GK4" s="195"/>
      <c r="GL4" s="30"/>
      <c r="GM4" s="194" t="s">
        <v>615</v>
      </c>
      <c r="GN4" s="284"/>
      <c r="GO4" s="284"/>
      <c r="GP4" s="284"/>
      <c r="GQ4" s="284"/>
      <c r="GR4" s="195"/>
      <c r="GS4" s="30"/>
      <c r="GT4" s="194" t="s">
        <v>484</v>
      </c>
      <c r="GU4" s="284"/>
      <c r="GV4" s="284"/>
      <c r="GW4" s="284"/>
      <c r="GX4" s="284"/>
      <c r="GY4" s="195"/>
      <c r="GZ4" s="30"/>
      <c r="HA4" s="194" t="s">
        <v>483</v>
      </c>
      <c r="HB4" s="284"/>
      <c r="HC4" s="284"/>
      <c r="HD4" s="284"/>
      <c r="HE4" s="284"/>
      <c r="HF4" s="195"/>
      <c r="HG4" s="30"/>
      <c r="HH4" s="194" t="s">
        <v>573</v>
      </c>
      <c r="HI4" s="284"/>
      <c r="HJ4" s="284"/>
      <c r="HK4" s="284"/>
      <c r="HL4" s="284"/>
      <c r="HM4" s="195"/>
      <c r="HN4" s="30"/>
      <c r="HO4" s="194" t="s">
        <v>481</v>
      </c>
      <c r="HP4" s="284"/>
      <c r="HQ4" s="284"/>
      <c r="HR4" s="284"/>
      <c r="HS4" s="284"/>
      <c r="HT4" s="195"/>
      <c r="HU4" s="30"/>
      <c r="HV4" s="30" t="s">
        <v>408</v>
      </c>
      <c r="HW4" s="30"/>
      <c r="HX4" s="30"/>
      <c r="HY4" s="30"/>
      <c r="HZ4" s="30"/>
      <c r="IA4" s="30"/>
      <c r="IB4" s="30"/>
      <c r="IC4" s="30" t="s">
        <v>407</v>
      </c>
      <c r="ID4" s="30"/>
      <c r="IE4" s="30"/>
      <c r="IF4" s="30"/>
      <c r="IG4" s="30"/>
      <c r="IH4" s="30"/>
      <c r="IJ4" s="30" t="s">
        <v>406</v>
      </c>
      <c r="IK4" s="30"/>
      <c r="IL4" s="30"/>
      <c r="IM4" s="30"/>
      <c r="IN4" s="30"/>
      <c r="IO4" s="30"/>
      <c r="IQ4" s="30" t="s">
        <v>572</v>
      </c>
      <c r="IR4" s="30"/>
      <c r="IS4" s="30"/>
      <c r="IT4" s="30"/>
      <c r="IU4" s="30"/>
      <c r="IV4" s="30"/>
    </row>
    <row r="5" spans="1:256">
      <c r="A5" s="30"/>
      <c r="B5" s="30"/>
      <c r="C5" s="30"/>
      <c r="D5" s="30"/>
      <c r="E5" s="30"/>
      <c r="F5" s="285"/>
      <c r="G5" s="38"/>
      <c r="H5" s="38"/>
      <c r="I5" s="38"/>
      <c r="J5" s="38"/>
      <c r="K5" s="193"/>
      <c r="L5" s="30"/>
      <c r="M5" s="450"/>
      <c r="N5" s="443"/>
      <c r="O5" s="443"/>
      <c r="P5" s="443"/>
      <c r="Q5" s="443"/>
      <c r="R5" s="551"/>
      <c r="S5" s="38"/>
      <c r="T5" s="30"/>
      <c r="U5" s="30"/>
      <c r="V5" s="30"/>
      <c r="W5" s="30"/>
      <c r="X5" s="30"/>
      <c r="Y5" s="30"/>
      <c r="Z5" s="30"/>
      <c r="AA5" s="450"/>
      <c r="AB5" s="443"/>
      <c r="AC5" s="443"/>
      <c r="AD5" s="443"/>
      <c r="AE5" s="443"/>
      <c r="AF5" s="551"/>
      <c r="AG5" s="30"/>
      <c r="AH5" s="285"/>
      <c r="AI5" s="38"/>
      <c r="AJ5" s="38"/>
      <c r="AK5" s="38"/>
      <c r="AL5" s="38"/>
      <c r="AM5" s="193"/>
      <c r="AN5" s="30"/>
      <c r="AO5" s="285"/>
      <c r="AP5" s="38"/>
      <c r="AQ5" s="38"/>
      <c r="AR5" s="38"/>
      <c r="AS5" s="38"/>
      <c r="AT5" s="193"/>
      <c r="AU5" s="30"/>
      <c r="AV5" s="285"/>
      <c r="AW5" s="38"/>
      <c r="AX5" s="38"/>
      <c r="AY5" s="38"/>
      <c r="AZ5" s="38"/>
      <c r="BA5" s="193"/>
      <c r="BB5" s="30"/>
      <c r="BC5" s="285"/>
      <c r="BD5" s="38"/>
      <c r="BE5" s="38"/>
      <c r="BF5" s="38"/>
      <c r="BG5" s="38"/>
      <c r="BH5" s="193"/>
      <c r="BI5" s="30"/>
      <c r="BJ5" s="285"/>
      <c r="BK5" s="38"/>
      <c r="BL5" s="38"/>
      <c r="BM5" s="38"/>
      <c r="BN5" s="38"/>
      <c r="BO5" s="193"/>
      <c r="BP5" s="30"/>
      <c r="BQ5" s="285"/>
      <c r="BR5" s="38"/>
      <c r="BS5" s="38"/>
      <c r="BT5" s="38"/>
      <c r="BU5" s="38"/>
      <c r="BV5" s="193"/>
      <c r="BW5" s="30"/>
      <c r="BX5" s="285"/>
      <c r="BY5" s="38"/>
      <c r="BZ5" s="38"/>
      <c r="CA5" s="38"/>
      <c r="CB5" s="38"/>
      <c r="CC5" s="193"/>
      <c r="CD5" s="30"/>
      <c r="CE5" s="285"/>
      <c r="CF5" s="38"/>
      <c r="CG5" s="38"/>
      <c r="CH5" s="38"/>
      <c r="CI5" s="38"/>
      <c r="CJ5" s="193"/>
      <c r="CK5" s="30"/>
      <c r="CL5" s="285"/>
      <c r="CM5" s="38"/>
      <c r="CN5" s="38"/>
      <c r="CO5" s="38"/>
      <c r="CP5" s="38"/>
      <c r="CQ5" s="193"/>
      <c r="CR5" s="30"/>
      <c r="CS5" s="285"/>
      <c r="CT5" s="38"/>
      <c r="CU5" s="38"/>
      <c r="CV5" s="38"/>
      <c r="CW5" s="38"/>
      <c r="CX5" s="193"/>
      <c r="CY5" s="30"/>
      <c r="CZ5" s="285"/>
      <c r="DA5" s="38"/>
      <c r="DB5" s="38"/>
      <c r="DC5" s="38"/>
      <c r="DD5" s="38"/>
      <c r="DE5" s="193"/>
      <c r="DF5" s="30"/>
      <c r="DG5" s="285"/>
      <c r="DH5" s="38"/>
      <c r="DI5" s="38"/>
      <c r="DJ5" s="38"/>
      <c r="DK5" s="38"/>
      <c r="DL5" s="193"/>
      <c r="DM5" s="30"/>
      <c r="DN5" s="285"/>
      <c r="DO5" s="38"/>
      <c r="DP5" s="38"/>
      <c r="DQ5" s="38"/>
      <c r="DR5" s="38"/>
      <c r="DS5" s="193"/>
      <c r="DT5" s="30"/>
      <c r="DU5" s="285"/>
      <c r="DV5" s="38"/>
      <c r="DW5" s="38"/>
      <c r="DX5" s="38"/>
      <c r="DY5" s="38"/>
      <c r="DZ5" s="193"/>
      <c r="EA5" s="30"/>
      <c r="EB5" s="285"/>
      <c r="EC5" s="38"/>
      <c r="ED5" s="38"/>
      <c r="EE5" s="38"/>
      <c r="EF5" s="38"/>
      <c r="EG5" s="193"/>
      <c r="EH5" s="30"/>
      <c r="EI5" s="285"/>
      <c r="EJ5" s="38"/>
      <c r="EK5" s="38"/>
      <c r="EL5" s="38"/>
      <c r="EM5" s="38"/>
      <c r="EN5" s="193"/>
      <c r="EO5" s="30"/>
      <c r="EP5" s="285"/>
      <c r="EQ5" s="38"/>
      <c r="ER5" s="38"/>
      <c r="ES5" s="38"/>
      <c r="ET5" s="38"/>
      <c r="EU5" s="193"/>
      <c r="EV5" s="30"/>
      <c r="EW5" s="285"/>
      <c r="EX5" s="38"/>
      <c r="EY5" s="38"/>
      <c r="EZ5" s="38"/>
      <c r="FA5" s="38"/>
      <c r="FB5" s="193"/>
      <c r="FC5" s="30"/>
      <c r="FD5" s="285"/>
      <c r="FE5" s="38"/>
      <c r="FF5" s="38"/>
      <c r="FG5" s="38"/>
      <c r="FH5" s="38"/>
      <c r="FI5" s="193"/>
      <c r="FJ5" s="30"/>
      <c r="FK5" s="285"/>
      <c r="FL5" s="38"/>
      <c r="FM5" s="38"/>
      <c r="FN5" s="38"/>
      <c r="FO5" s="38"/>
      <c r="FP5" s="193"/>
      <c r="FQ5" s="30"/>
      <c r="FR5" s="285"/>
      <c r="FS5" s="38"/>
      <c r="FT5" s="38"/>
      <c r="FU5" s="38"/>
      <c r="FV5" s="38"/>
      <c r="FW5" s="193"/>
      <c r="FX5" s="30"/>
      <c r="FY5" s="285"/>
      <c r="FZ5" s="38"/>
      <c r="GA5" s="38"/>
      <c r="GB5" s="38"/>
      <c r="GC5" s="38"/>
      <c r="GD5" s="193"/>
      <c r="GE5" s="30"/>
      <c r="GF5" s="285"/>
      <c r="GG5" s="38"/>
      <c r="GH5" s="38"/>
      <c r="GI5" s="38"/>
      <c r="GJ5" s="38"/>
      <c r="GK5" s="193"/>
      <c r="GL5" s="30"/>
      <c r="GM5" s="285"/>
      <c r="GN5" s="38"/>
      <c r="GO5" s="38"/>
      <c r="GP5" s="38"/>
      <c r="GQ5" s="38"/>
      <c r="GR5" s="193"/>
      <c r="GS5" s="30"/>
      <c r="GT5" s="285"/>
      <c r="GU5" s="38"/>
      <c r="GV5" s="38"/>
      <c r="GW5" s="38"/>
      <c r="GX5" s="38"/>
      <c r="GY5" s="193"/>
      <c r="GZ5" s="30"/>
      <c r="HA5" s="285"/>
      <c r="HB5" s="38"/>
      <c r="HC5" s="38"/>
      <c r="HD5" s="38"/>
      <c r="HE5" s="38"/>
      <c r="HF5" s="193"/>
      <c r="HG5" s="30"/>
      <c r="HH5" s="285"/>
      <c r="HI5" s="38"/>
      <c r="HJ5" s="38"/>
      <c r="HK5" s="38"/>
      <c r="HL5" s="38"/>
      <c r="HM5" s="193"/>
      <c r="HN5" s="30"/>
      <c r="HO5" s="285"/>
      <c r="HP5" s="38"/>
      <c r="HQ5" s="38"/>
      <c r="HR5" s="38"/>
      <c r="HS5" s="38"/>
      <c r="HT5" s="193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J5" s="30"/>
      <c r="IK5" s="30"/>
      <c r="IL5" s="30"/>
      <c r="IM5" s="30"/>
      <c r="IN5" s="30"/>
      <c r="IO5" s="30"/>
      <c r="IQ5" s="30"/>
      <c r="IR5" s="30"/>
      <c r="IS5" s="30"/>
      <c r="IT5" s="30"/>
      <c r="IU5" s="30"/>
      <c r="IV5" s="30"/>
    </row>
    <row r="6" spans="1:256">
      <c r="A6" s="30"/>
      <c r="B6" s="30"/>
      <c r="C6" s="30"/>
      <c r="D6" s="30"/>
      <c r="E6" s="30"/>
      <c r="F6" s="286" t="s">
        <v>431</v>
      </c>
      <c r="G6" s="199" t="s">
        <v>253</v>
      </c>
      <c r="H6" s="199" t="s">
        <v>786</v>
      </c>
      <c r="I6" s="38" t="s">
        <v>771</v>
      </c>
      <c r="J6" s="38" t="s">
        <v>312</v>
      </c>
      <c r="K6" s="287" t="s">
        <v>381</v>
      </c>
      <c r="L6" s="30"/>
      <c r="M6" s="552" t="s">
        <v>431</v>
      </c>
      <c r="N6" s="553" t="s">
        <v>253</v>
      </c>
      <c r="O6" s="553" t="s">
        <v>786</v>
      </c>
      <c r="P6" s="443" t="s">
        <v>771</v>
      </c>
      <c r="Q6" s="443" t="s">
        <v>312</v>
      </c>
      <c r="R6" s="554" t="s">
        <v>381</v>
      </c>
      <c r="S6" s="199"/>
      <c r="T6" s="30" t="s">
        <v>431</v>
      </c>
      <c r="U6" s="30" t="s">
        <v>253</v>
      </c>
      <c r="V6" s="199"/>
      <c r="W6" s="38" t="s">
        <v>771</v>
      </c>
      <c r="X6" s="30" t="s">
        <v>312</v>
      </c>
      <c r="Y6" s="263" t="s">
        <v>381</v>
      </c>
      <c r="Z6" s="30"/>
      <c r="AA6" s="552" t="s">
        <v>431</v>
      </c>
      <c r="AB6" s="553" t="s">
        <v>253</v>
      </c>
      <c r="AC6" s="553" t="s">
        <v>786</v>
      </c>
      <c r="AD6" s="443" t="s">
        <v>771</v>
      </c>
      <c r="AE6" s="443" t="s">
        <v>312</v>
      </c>
      <c r="AF6" s="554" t="s">
        <v>381</v>
      </c>
      <c r="AG6" s="30"/>
      <c r="AH6" s="286" t="s">
        <v>431</v>
      </c>
      <c r="AI6" s="199" t="s">
        <v>253</v>
      </c>
      <c r="AJ6" s="199" t="s">
        <v>786</v>
      </c>
      <c r="AK6" s="38" t="s">
        <v>771</v>
      </c>
      <c r="AL6" s="38" t="s">
        <v>312</v>
      </c>
      <c r="AM6" s="287" t="s">
        <v>381</v>
      </c>
      <c r="AN6" s="30"/>
      <c r="AO6" s="286" t="s">
        <v>431</v>
      </c>
      <c r="AP6" s="199" t="s">
        <v>253</v>
      </c>
      <c r="AQ6" s="199" t="s">
        <v>786</v>
      </c>
      <c r="AR6" s="38" t="s">
        <v>771</v>
      </c>
      <c r="AS6" s="38" t="s">
        <v>312</v>
      </c>
      <c r="AT6" s="287" t="s">
        <v>381</v>
      </c>
      <c r="AU6" s="30"/>
      <c r="AV6" s="286" t="s">
        <v>431</v>
      </c>
      <c r="AW6" s="199" t="s">
        <v>253</v>
      </c>
      <c r="AX6" s="199" t="s">
        <v>786</v>
      </c>
      <c r="AY6" s="38" t="s">
        <v>771</v>
      </c>
      <c r="AZ6" s="38" t="s">
        <v>312</v>
      </c>
      <c r="BA6" s="287" t="s">
        <v>381</v>
      </c>
      <c r="BB6" s="30"/>
      <c r="BC6" s="286" t="s">
        <v>431</v>
      </c>
      <c r="BD6" s="199" t="s">
        <v>253</v>
      </c>
      <c r="BE6" s="199" t="s">
        <v>786</v>
      </c>
      <c r="BF6" s="38" t="s">
        <v>771</v>
      </c>
      <c r="BG6" s="38" t="s">
        <v>312</v>
      </c>
      <c r="BH6" s="287" t="s">
        <v>381</v>
      </c>
      <c r="BI6" s="30"/>
      <c r="BJ6" s="286" t="s">
        <v>431</v>
      </c>
      <c r="BK6" s="199" t="s">
        <v>253</v>
      </c>
      <c r="BL6" s="199" t="s">
        <v>786</v>
      </c>
      <c r="BM6" s="38" t="s">
        <v>771</v>
      </c>
      <c r="BN6" s="38" t="s">
        <v>312</v>
      </c>
      <c r="BO6" s="287" t="s">
        <v>381</v>
      </c>
      <c r="BP6" s="30"/>
      <c r="BQ6" s="286" t="s">
        <v>431</v>
      </c>
      <c r="BR6" s="199" t="s">
        <v>253</v>
      </c>
      <c r="BS6" s="199" t="s">
        <v>786</v>
      </c>
      <c r="BT6" s="38" t="s">
        <v>771</v>
      </c>
      <c r="BU6" s="38" t="s">
        <v>312</v>
      </c>
      <c r="BV6" s="287" t="s">
        <v>381</v>
      </c>
      <c r="BW6" s="30"/>
      <c r="BX6" s="286" t="s">
        <v>431</v>
      </c>
      <c r="BY6" s="199" t="s">
        <v>253</v>
      </c>
      <c r="BZ6" s="199" t="s">
        <v>786</v>
      </c>
      <c r="CA6" s="38" t="s">
        <v>771</v>
      </c>
      <c r="CB6" s="38" t="s">
        <v>312</v>
      </c>
      <c r="CC6" s="287" t="s">
        <v>381</v>
      </c>
      <c r="CD6" s="30"/>
      <c r="CE6" s="286" t="s">
        <v>431</v>
      </c>
      <c r="CF6" s="199" t="s">
        <v>253</v>
      </c>
      <c r="CG6" s="199" t="s">
        <v>786</v>
      </c>
      <c r="CH6" s="38" t="s">
        <v>771</v>
      </c>
      <c r="CI6" s="38" t="s">
        <v>312</v>
      </c>
      <c r="CJ6" s="287" t="s">
        <v>381</v>
      </c>
      <c r="CK6" s="30"/>
      <c r="CL6" s="286" t="s">
        <v>431</v>
      </c>
      <c r="CM6" s="199" t="s">
        <v>253</v>
      </c>
      <c r="CN6" s="199" t="s">
        <v>786</v>
      </c>
      <c r="CO6" s="38" t="s">
        <v>771</v>
      </c>
      <c r="CP6" s="38" t="s">
        <v>312</v>
      </c>
      <c r="CQ6" s="287" t="s">
        <v>381</v>
      </c>
      <c r="CR6" s="30"/>
      <c r="CS6" s="286" t="s">
        <v>431</v>
      </c>
      <c r="CT6" s="199" t="s">
        <v>253</v>
      </c>
      <c r="CU6" s="199"/>
      <c r="CV6" s="38" t="s">
        <v>771</v>
      </c>
      <c r="CW6" s="38" t="s">
        <v>312</v>
      </c>
      <c r="CX6" s="287" t="s">
        <v>381</v>
      </c>
      <c r="CY6" s="30"/>
      <c r="CZ6" s="286" t="s">
        <v>431</v>
      </c>
      <c r="DA6" s="199" t="s">
        <v>253</v>
      </c>
      <c r="DB6" s="199"/>
      <c r="DC6" s="38" t="s">
        <v>771</v>
      </c>
      <c r="DD6" s="38" t="s">
        <v>312</v>
      </c>
      <c r="DE6" s="287" t="s">
        <v>381</v>
      </c>
      <c r="DF6" s="30"/>
      <c r="DG6" s="286" t="s">
        <v>431</v>
      </c>
      <c r="DH6" s="199" t="s">
        <v>253</v>
      </c>
      <c r="DI6" s="199"/>
      <c r="DJ6" s="38" t="s">
        <v>771</v>
      </c>
      <c r="DK6" s="38" t="s">
        <v>312</v>
      </c>
      <c r="DL6" s="287" t="s">
        <v>381</v>
      </c>
      <c r="DM6" s="30"/>
      <c r="DN6" s="286" t="s">
        <v>431</v>
      </c>
      <c r="DO6" s="199" t="s">
        <v>253</v>
      </c>
      <c r="DP6" s="199" t="s">
        <v>420</v>
      </c>
      <c r="DQ6" s="199" t="s">
        <v>311</v>
      </c>
      <c r="DR6" s="38" t="s">
        <v>312</v>
      </c>
      <c r="DS6" s="287" t="s">
        <v>381</v>
      </c>
      <c r="DT6" s="30"/>
      <c r="DU6" s="286" t="s">
        <v>431</v>
      </c>
      <c r="DV6" s="199" t="s">
        <v>253</v>
      </c>
      <c r="DW6" s="199" t="s">
        <v>420</v>
      </c>
      <c r="DX6" s="199" t="s">
        <v>311</v>
      </c>
      <c r="DY6" s="38" t="s">
        <v>312</v>
      </c>
      <c r="DZ6" s="287" t="s">
        <v>381</v>
      </c>
      <c r="EA6" s="30"/>
      <c r="EB6" s="286" t="s">
        <v>431</v>
      </c>
      <c r="EC6" s="199" t="s">
        <v>253</v>
      </c>
      <c r="ED6" s="199" t="s">
        <v>420</v>
      </c>
      <c r="EE6" s="199" t="s">
        <v>311</v>
      </c>
      <c r="EF6" s="38" t="s">
        <v>312</v>
      </c>
      <c r="EG6" s="287" t="s">
        <v>381</v>
      </c>
      <c r="EH6" s="30"/>
      <c r="EI6" s="286" t="s">
        <v>431</v>
      </c>
      <c r="EJ6" s="199" t="s">
        <v>253</v>
      </c>
      <c r="EK6" s="199" t="s">
        <v>420</v>
      </c>
      <c r="EL6" s="199" t="s">
        <v>311</v>
      </c>
      <c r="EM6" s="38" t="s">
        <v>312</v>
      </c>
      <c r="EN6" s="287" t="s">
        <v>381</v>
      </c>
      <c r="EO6" s="30"/>
      <c r="EP6" s="286" t="s">
        <v>431</v>
      </c>
      <c r="EQ6" s="199" t="s">
        <v>253</v>
      </c>
      <c r="ER6" s="199" t="s">
        <v>420</v>
      </c>
      <c r="ES6" s="199" t="s">
        <v>311</v>
      </c>
      <c r="ET6" s="38" t="s">
        <v>312</v>
      </c>
      <c r="EU6" s="287" t="s">
        <v>381</v>
      </c>
      <c r="EV6" s="30"/>
      <c r="EW6" s="286" t="s">
        <v>431</v>
      </c>
      <c r="EX6" s="199" t="s">
        <v>253</v>
      </c>
      <c r="EY6" s="199" t="s">
        <v>420</v>
      </c>
      <c r="EZ6" s="199" t="s">
        <v>311</v>
      </c>
      <c r="FA6" s="38" t="s">
        <v>312</v>
      </c>
      <c r="FB6" s="287" t="s">
        <v>381</v>
      </c>
      <c r="FC6" s="30"/>
      <c r="FD6" s="286" t="s">
        <v>431</v>
      </c>
      <c r="FE6" s="199" t="s">
        <v>253</v>
      </c>
      <c r="FF6" s="199" t="s">
        <v>420</v>
      </c>
      <c r="FG6" s="199" t="s">
        <v>311</v>
      </c>
      <c r="FH6" s="38" t="s">
        <v>312</v>
      </c>
      <c r="FI6" s="287" t="s">
        <v>381</v>
      </c>
      <c r="FJ6" s="30"/>
      <c r="FK6" s="286" t="s">
        <v>431</v>
      </c>
      <c r="FL6" s="199" t="s">
        <v>253</v>
      </c>
      <c r="FM6" s="199" t="s">
        <v>420</v>
      </c>
      <c r="FN6" s="199" t="s">
        <v>311</v>
      </c>
      <c r="FO6" s="38" t="s">
        <v>312</v>
      </c>
      <c r="FP6" s="287" t="s">
        <v>381</v>
      </c>
      <c r="FQ6" s="30"/>
      <c r="FR6" s="286" t="s">
        <v>431</v>
      </c>
      <c r="FS6" s="199" t="s">
        <v>253</v>
      </c>
      <c r="FT6" s="199" t="s">
        <v>420</v>
      </c>
      <c r="FU6" s="199" t="s">
        <v>311</v>
      </c>
      <c r="FV6" s="38" t="s">
        <v>312</v>
      </c>
      <c r="FW6" s="287" t="s">
        <v>381</v>
      </c>
      <c r="FX6" s="30"/>
      <c r="FY6" s="286" t="s">
        <v>431</v>
      </c>
      <c r="FZ6" s="199" t="s">
        <v>253</v>
      </c>
      <c r="GA6" s="199" t="s">
        <v>420</v>
      </c>
      <c r="GB6" s="199" t="s">
        <v>311</v>
      </c>
      <c r="GC6" s="38" t="s">
        <v>312</v>
      </c>
      <c r="GD6" s="287" t="s">
        <v>381</v>
      </c>
      <c r="GE6" s="30"/>
      <c r="GF6" s="286" t="s">
        <v>431</v>
      </c>
      <c r="GG6" s="199" t="s">
        <v>253</v>
      </c>
      <c r="GH6" s="199" t="s">
        <v>420</v>
      </c>
      <c r="GI6" s="199" t="s">
        <v>311</v>
      </c>
      <c r="GJ6" s="38" t="s">
        <v>312</v>
      </c>
      <c r="GK6" s="287" t="s">
        <v>381</v>
      </c>
      <c r="GL6" s="30"/>
      <c r="GM6" s="286" t="s">
        <v>431</v>
      </c>
      <c r="GN6" s="199" t="s">
        <v>253</v>
      </c>
      <c r="GO6" s="199" t="s">
        <v>420</v>
      </c>
      <c r="GP6" s="199" t="s">
        <v>311</v>
      </c>
      <c r="GQ6" s="38" t="s">
        <v>312</v>
      </c>
      <c r="GR6" s="287" t="s">
        <v>381</v>
      </c>
      <c r="GS6" s="30"/>
      <c r="GT6" s="286" t="s">
        <v>431</v>
      </c>
      <c r="GU6" s="199" t="s">
        <v>253</v>
      </c>
      <c r="GV6" s="199" t="s">
        <v>420</v>
      </c>
      <c r="GW6" s="199" t="s">
        <v>311</v>
      </c>
      <c r="GX6" s="38" t="s">
        <v>312</v>
      </c>
      <c r="GY6" s="287" t="s">
        <v>381</v>
      </c>
      <c r="GZ6" s="30"/>
      <c r="HA6" s="286" t="s">
        <v>431</v>
      </c>
      <c r="HB6" s="199" t="s">
        <v>253</v>
      </c>
      <c r="HC6" s="199" t="s">
        <v>420</v>
      </c>
      <c r="HD6" s="199" t="s">
        <v>311</v>
      </c>
      <c r="HE6" s="38" t="s">
        <v>312</v>
      </c>
      <c r="HF6" s="287" t="s">
        <v>381</v>
      </c>
      <c r="HG6" s="30"/>
      <c r="HH6" s="286" t="s">
        <v>431</v>
      </c>
      <c r="HI6" s="199" t="s">
        <v>253</v>
      </c>
      <c r="HJ6" s="199" t="s">
        <v>420</v>
      </c>
      <c r="HK6" s="199" t="s">
        <v>311</v>
      </c>
      <c r="HL6" s="38" t="s">
        <v>312</v>
      </c>
      <c r="HM6" s="287" t="s">
        <v>381</v>
      </c>
      <c r="HN6" s="30"/>
      <c r="HO6" s="286" t="s">
        <v>431</v>
      </c>
      <c r="HP6" s="199" t="s">
        <v>253</v>
      </c>
      <c r="HQ6" s="199" t="s">
        <v>420</v>
      </c>
      <c r="HR6" s="199" t="s">
        <v>311</v>
      </c>
      <c r="HS6" s="38" t="s">
        <v>312</v>
      </c>
      <c r="HT6" s="287" t="s">
        <v>381</v>
      </c>
      <c r="HU6" s="30"/>
      <c r="HV6" s="199" t="s">
        <v>431</v>
      </c>
      <c r="HW6" s="199" t="s">
        <v>253</v>
      </c>
      <c r="HX6" s="199" t="s">
        <v>420</v>
      </c>
      <c r="HY6" s="199" t="s">
        <v>311</v>
      </c>
      <c r="HZ6" s="30" t="s">
        <v>312</v>
      </c>
      <c r="IA6" s="263" t="s">
        <v>381</v>
      </c>
      <c r="IB6" s="30"/>
      <c r="IC6" s="199" t="s">
        <v>431</v>
      </c>
      <c r="ID6" s="199" t="s">
        <v>253</v>
      </c>
      <c r="IE6" s="199" t="s">
        <v>420</v>
      </c>
      <c r="IF6" s="199" t="s">
        <v>311</v>
      </c>
      <c r="IG6" s="30" t="s">
        <v>312</v>
      </c>
      <c r="IH6" s="263" t="s">
        <v>381</v>
      </c>
      <c r="IJ6" s="199" t="s">
        <v>431</v>
      </c>
      <c r="IK6" s="199" t="s">
        <v>253</v>
      </c>
      <c r="IL6" s="199" t="s">
        <v>420</v>
      </c>
      <c r="IM6" s="199" t="s">
        <v>311</v>
      </c>
      <c r="IN6" s="30" t="s">
        <v>312</v>
      </c>
      <c r="IO6" s="263" t="s">
        <v>381</v>
      </c>
      <c r="IQ6" s="30" t="s">
        <v>431</v>
      </c>
      <c r="IR6" s="30" t="s">
        <v>253</v>
      </c>
      <c r="IS6" s="30" t="s">
        <v>420</v>
      </c>
      <c r="IT6" s="30" t="s">
        <v>311</v>
      </c>
      <c r="IU6" s="30" t="s">
        <v>312</v>
      </c>
      <c r="IV6" s="30" t="s">
        <v>381</v>
      </c>
    </row>
    <row r="7" spans="1:256">
      <c r="A7" s="30"/>
      <c r="B7" s="30"/>
      <c r="C7" s="30"/>
      <c r="D7" s="30"/>
      <c r="E7" s="198" t="s">
        <v>337</v>
      </c>
      <c r="F7" s="285"/>
      <c r="G7" s="38"/>
      <c r="H7" s="38"/>
      <c r="I7" s="38"/>
      <c r="J7" s="38"/>
      <c r="K7" s="193"/>
      <c r="L7" s="30"/>
      <c r="M7" s="450"/>
      <c r="N7" s="443"/>
      <c r="O7" s="443"/>
      <c r="P7" s="443"/>
      <c r="Q7" s="443"/>
      <c r="R7" s="551"/>
      <c r="S7" s="38"/>
      <c r="T7" s="30"/>
      <c r="U7" s="30"/>
      <c r="V7" s="30"/>
      <c r="W7" s="30"/>
      <c r="X7" s="30"/>
      <c r="Y7" s="30"/>
      <c r="Z7" s="30"/>
      <c r="AA7" s="450"/>
      <c r="AB7" s="443"/>
      <c r="AC7" s="443"/>
      <c r="AD7" s="443"/>
      <c r="AE7" s="443"/>
      <c r="AF7" s="551"/>
      <c r="AG7" s="30"/>
      <c r="AH7" s="285"/>
      <c r="AI7" s="38"/>
      <c r="AJ7" s="38"/>
      <c r="AK7" s="38"/>
      <c r="AL7" s="38"/>
      <c r="AM7" s="193"/>
      <c r="AN7" s="30"/>
      <c r="AO7" s="285"/>
      <c r="AP7" s="38"/>
      <c r="AQ7" s="38"/>
      <c r="AR7" s="38"/>
      <c r="AS7" s="38"/>
      <c r="AT7" s="193"/>
      <c r="AU7" s="30"/>
      <c r="AV7" s="285"/>
      <c r="AW7" s="38"/>
      <c r="AX7" s="38"/>
      <c r="AY7" s="38"/>
      <c r="AZ7" s="38"/>
      <c r="BA7" s="193"/>
      <c r="BB7" s="30"/>
      <c r="BC7" s="285"/>
      <c r="BD7" s="38"/>
      <c r="BE7" s="38"/>
      <c r="BF7" s="38"/>
      <c r="BG7" s="38"/>
      <c r="BH7" s="193"/>
      <c r="BI7" s="30"/>
      <c r="BJ7" s="285"/>
      <c r="BK7" s="38"/>
      <c r="BL7" s="38"/>
      <c r="BM7" s="38"/>
      <c r="BN7" s="38"/>
      <c r="BO7" s="193"/>
      <c r="BP7" s="30"/>
      <c r="BQ7" s="285"/>
      <c r="BR7" s="38"/>
      <c r="BS7" s="38"/>
      <c r="BT7" s="38"/>
      <c r="BU7" s="38"/>
      <c r="BV7" s="193"/>
      <c r="BW7" s="30"/>
      <c r="BX7" s="285"/>
      <c r="BY7" s="38"/>
      <c r="BZ7" s="38"/>
      <c r="CA7" s="38"/>
      <c r="CB7" s="38"/>
      <c r="CC7" s="193"/>
      <c r="CD7" s="30"/>
      <c r="CE7" s="285"/>
      <c r="CF7" s="38"/>
      <c r="CG7" s="38"/>
      <c r="CH7" s="38"/>
      <c r="CI7" s="38"/>
      <c r="CJ7" s="193"/>
      <c r="CK7" s="30"/>
      <c r="CL7" s="285"/>
      <c r="CM7" s="38"/>
      <c r="CN7" s="38"/>
      <c r="CO7" s="38"/>
      <c r="CP7" s="38"/>
      <c r="CQ7" s="193"/>
      <c r="CR7" s="30"/>
      <c r="CS7" s="285"/>
      <c r="CT7" s="38"/>
      <c r="CU7" s="38"/>
      <c r="CV7" s="38"/>
      <c r="CW7" s="38"/>
      <c r="CX7" s="193"/>
      <c r="CY7" s="30"/>
      <c r="CZ7" s="285"/>
      <c r="DA7" s="38"/>
      <c r="DB7" s="38"/>
      <c r="DC7" s="38"/>
      <c r="DD7" s="38"/>
      <c r="DE7" s="193"/>
      <c r="DF7" s="30"/>
      <c r="DG7" s="285"/>
      <c r="DH7" s="38"/>
      <c r="DI7" s="38"/>
      <c r="DJ7" s="38"/>
      <c r="DK7" s="38"/>
      <c r="DL7" s="193"/>
      <c r="DM7" s="30"/>
      <c r="DN7" s="285"/>
      <c r="DO7" s="38"/>
      <c r="DP7" s="38"/>
      <c r="DQ7" s="38"/>
      <c r="DR7" s="38"/>
      <c r="DS7" s="193"/>
      <c r="DT7" s="30"/>
      <c r="DU7" s="285"/>
      <c r="DV7" s="38"/>
      <c r="DW7" s="38"/>
      <c r="DX7" s="38"/>
      <c r="DY7" s="38"/>
      <c r="DZ7" s="193"/>
      <c r="EA7" s="30"/>
      <c r="EB7" s="285"/>
      <c r="EC7" s="38"/>
      <c r="ED7" s="38"/>
      <c r="EE7" s="38"/>
      <c r="EF7" s="38"/>
      <c r="EG7" s="193"/>
      <c r="EH7" s="30"/>
      <c r="EI7" s="285"/>
      <c r="EJ7" s="38"/>
      <c r="EK7" s="38"/>
      <c r="EL7" s="38"/>
      <c r="EM7" s="38"/>
      <c r="EN7" s="193"/>
      <c r="EO7" s="30"/>
      <c r="EP7" s="285"/>
      <c r="EQ7" s="38"/>
      <c r="ER7" s="38"/>
      <c r="ES7" s="38"/>
      <c r="ET7" s="38"/>
      <c r="EU7" s="193"/>
      <c r="EV7" s="30"/>
      <c r="EW7" s="285"/>
      <c r="EX7" s="38"/>
      <c r="EY7" s="38"/>
      <c r="EZ7" s="38"/>
      <c r="FA7" s="38"/>
      <c r="FB7" s="193"/>
      <c r="FC7" s="30"/>
      <c r="FD7" s="285"/>
      <c r="FE7" s="38"/>
      <c r="FF7" s="38"/>
      <c r="FG7" s="38"/>
      <c r="FH7" s="38"/>
      <c r="FI7" s="193"/>
      <c r="FJ7" s="30"/>
      <c r="FK7" s="285"/>
      <c r="FL7" s="38"/>
      <c r="FM7" s="38"/>
      <c r="FN7" s="38"/>
      <c r="FO7" s="38"/>
      <c r="FP7" s="193"/>
      <c r="FQ7" s="30"/>
      <c r="FR7" s="285"/>
      <c r="FS7" s="38"/>
      <c r="FT7" s="38"/>
      <c r="FU7" s="38"/>
      <c r="FV7" s="38"/>
      <c r="FW7" s="193"/>
      <c r="FX7" s="30"/>
      <c r="FY7" s="285"/>
      <c r="FZ7" s="38"/>
      <c r="GA7" s="38"/>
      <c r="GB7" s="38"/>
      <c r="GC7" s="38"/>
      <c r="GD7" s="193"/>
      <c r="GE7" s="30"/>
      <c r="GF7" s="285"/>
      <c r="GG7" s="38"/>
      <c r="GH7" s="38"/>
      <c r="GI7" s="38"/>
      <c r="GJ7" s="38"/>
      <c r="GK7" s="193"/>
      <c r="GL7" s="30"/>
      <c r="GM7" s="285"/>
      <c r="GN7" s="38"/>
      <c r="GO7" s="38"/>
      <c r="GP7" s="38"/>
      <c r="GQ7" s="38"/>
      <c r="GR7" s="193"/>
      <c r="GS7" s="30"/>
      <c r="GT7" s="285"/>
      <c r="GU7" s="38"/>
      <c r="GV7" s="38"/>
      <c r="GW7" s="38"/>
      <c r="GX7" s="38"/>
      <c r="GY7" s="193"/>
      <c r="GZ7" s="30"/>
      <c r="HA7" s="285"/>
      <c r="HB7" s="38"/>
      <c r="HC7" s="38"/>
      <c r="HD7" s="38"/>
      <c r="HE7" s="38"/>
      <c r="HF7" s="193"/>
      <c r="HG7" s="30"/>
      <c r="HH7" s="285"/>
      <c r="HI7" s="38"/>
      <c r="HJ7" s="38"/>
      <c r="HK7" s="38"/>
      <c r="HL7" s="38"/>
      <c r="HM7" s="193"/>
      <c r="HN7" s="30"/>
      <c r="HO7" s="285"/>
      <c r="HP7" s="38"/>
      <c r="HQ7" s="38"/>
      <c r="HR7" s="38"/>
      <c r="HS7" s="38"/>
      <c r="HT7" s="193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J7" s="30"/>
      <c r="IK7" s="30"/>
      <c r="IL7" s="30"/>
      <c r="IM7" s="30"/>
      <c r="IN7" s="30"/>
      <c r="IO7" s="30"/>
      <c r="IQ7" s="30"/>
      <c r="IR7" s="30"/>
      <c r="IS7" s="30"/>
      <c r="IT7" s="30"/>
      <c r="IU7" s="30"/>
      <c r="IV7" s="30"/>
    </row>
    <row r="8" spans="1:256">
      <c r="A8" s="30" t="s">
        <v>338</v>
      </c>
      <c r="B8" s="30"/>
      <c r="C8" s="30"/>
      <c r="D8" s="30"/>
      <c r="E8" s="30"/>
      <c r="F8" s="374">
        <v>7034</v>
      </c>
      <c r="G8" s="375">
        <v>2518</v>
      </c>
      <c r="H8" s="375"/>
      <c r="I8" s="375"/>
      <c r="J8" s="375">
        <v>-3092</v>
      </c>
      <c r="K8" s="376">
        <f>SUM(F8:J8)</f>
        <v>6460</v>
      </c>
      <c r="L8" s="33"/>
      <c r="M8" s="555"/>
      <c r="N8" s="556"/>
      <c r="O8" s="556"/>
      <c r="P8" s="556"/>
      <c r="Q8" s="556"/>
      <c r="R8" s="557">
        <f>SUM(M8:Q8)</f>
        <v>0</v>
      </c>
      <c r="S8" s="366"/>
      <c r="T8" s="33">
        <f t="shared" ref="T8:T17" si="0">+F8-M8</f>
        <v>7034</v>
      </c>
      <c r="U8" s="33">
        <f t="shared" ref="U8:U17" si="1">+G8-N8</f>
        <v>2518</v>
      </c>
      <c r="V8" s="33">
        <f t="shared" ref="V8:V17" si="2">+H8-O8</f>
        <v>0</v>
      </c>
      <c r="W8" s="33">
        <f t="shared" ref="W8:W17" si="3">+I8-P8</f>
        <v>0</v>
      </c>
      <c r="X8" s="33">
        <f t="shared" ref="X8:X17" si="4">+J8-Q8</f>
        <v>-3092</v>
      </c>
      <c r="Y8" s="33">
        <f t="shared" ref="Y8:Y17" si="5">+K8-R8</f>
        <v>6460</v>
      </c>
      <c r="Z8" s="33"/>
      <c r="AA8" s="555">
        <v>27523</v>
      </c>
      <c r="AB8" s="556">
        <v>8310</v>
      </c>
      <c r="AC8" s="556"/>
      <c r="AD8" s="556"/>
      <c r="AE8" s="556">
        <v>-9830</v>
      </c>
      <c r="AF8" s="557">
        <f>SUM(AA8:AE8)</f>
        <v>26003</v>
      </c>
      <c r="AG8" s="33"/>
      <c r="AH8" s="374">
        <v>20382.885000000002</v>
      </c>
      <c r="AI8" s="375">
        <v>5876.3629999999994</v>
      </c>
      <c r="AJ8" s="375"/>
      <c r="AK8" s="375"/>
      <c r="AL8" s="375">
        <v>-7171.5680000000002</v>
      </c>
      <c r="AM8" s="376">
        <f>SUM(AH8:AL8)</f>
        <v>19087.68</v>
      </c>
      <c r="AN8" s="33"/>
      <c r="AO8" s="374">
        <v>13417</v>
      </c>
      <c r="AP8" s="375">
        <v>3994</v>
      </c>
      <c r="AQ8" s="375"/>
      <c r="AR8" s="375"/>
      <c r="AS8" s="375">
        <v>-4610</v>
      </c>
      <c r="AT8" s="376">
        <f>SUM(AO8:AS8)</f>
        <v>12801</v>
      </c>
      <c r="AU8" s="33"/>
      <c r="AV8" s="374">
        <v>6757</v>
      </c>
      <c r="AW8" s="375">
        <v>2036</v>
      </c>
      <c r="AX8" s="375"/>
      <c r="AY8" s="375"/>
      <c r="AZ8" s="375">
        <v>-2364</v>
      </c>
      <c r="BA8" s="376">
        <f>SUM(AV8:AZ8)</f>
        <v>6429</v>
      </c>
      <c r="BB8" s="33"/>
      <c r="BC8" s="374">
        <v>24583</v>
      </c>
      <c r="BD8" s="375">
        <v>6587</v>
      </c>
      <c r="BE8" s="375"/>
      <c r="BF8" s="375"/>
      <c r="BG8" s="375">
        <v>-7719</v>
      </c>
      <c r="BH8" s="376">
        <f>SUM(BC8:BG8)</f>
        <v>23451</v>
      </c>
      <c r="BI8" s="33"/>
      <c r="BJ8" s="374">
        <v>17805</v>
      </c>
      <c r="BK8" s="375">
        <v>4626</v>
      </c>
      <c r="BL8" s="375"/>
      <c r="BM8" s="375"/>
      <c r="BN8" s="375">
        <v>-5456</v>
      </c>
      <c r="BO8" s="376">
        <f>SUM(BJ8:BN8)</f>
        <v>16975</v>
      </c>
      <c r="BP8" s="33"/>
      <c r="BQ8" s="374">
        <v>11290</v>
      </c>
      <c r="BR8" s="375">
        <v>3045</v>
      </c>
      <c r="BS8" s="375"/>
      <c r="BT8" s="375"/>
      <c r="BU8" s="375">
        <v>-3423</v>
      </c>
      <c r="BV8" s="376">
        <f>SUM(BQ8:BU8)</f>
        <v>10912</v>
      </c>
      <c r="BW8" s="33"/>
      <c r="BX8" s="374">
        <v>5210</v>
      </c>
      <c r="BY8" s="375">
        <v>1645</v>
      </c>
      <c r="BZ8" s="375"/>
      <c r="CA8" s="375"/>
      <c r="CB8" s="375">
        <v>-1916</v>
      </c>
      <c r="CC8" s="376">
        <f>SUM(BX8:CB8)</f>
        <v>4939</v>
      </c>
      <c r="CD8" s="33"/>
      <c r="CE8" s="374">
        <v>23015</v>
      </c>
      <c r="CF8" s="375">
        <v>7625</v>
      </c>
      <c r="CG8" s="375"/>
      <c r="CH8" s="375"/>
      <c r="CI8" s="375">
        <v>-8433</v>
      </c>
      <c r="CJ8" s="376">
        <f>SUM(CE8:CI8)</f>
        <v>22207</v>
      </c>
      <c r="CK8" s="33"/>
      <c r="CL8" s="374">
        <v>19640</v>
      </c>
      <c r="CM8" s="375">
        <v>6247</v>
      </c>
      <c r="CN8" s="375"/>
      <c r="CO8" s="375"/>
      <c r="CP8" s="375">
        <v>-7031</v>
      </c>
      <c r="CQ8" s="376">
        <f>SUM(CL8:CP8)</f>
        <v>18856</v>
      </c>
      <c r="CR8" s="33"/>
      <c r="CS8" s="374">
        <v>14648</v>
      </c>
      <c r="CT8" s="375">
        <v>4441</v>
      </c>
      <c r="CU8" s="375"/>
      <c r="CV8" s="375"/>
      <c r="CW8" s="375">
        <v>-4981</v>
      </c>
      <c r="CX8" s="376">
        <f>SUM(CS8:CW8)</f>
        <v>14108</v>
      </c>
      <c r="CY8" s="33"/>
      <c r="CZ8" s="374">
        <v>7740</v>
      </c>
      <c r="DA8" s="375">
        <v>2559</v>
      </c>
      <c r="DB8" s="375"/>
      <c r="DC8" s="375"/>
      <c r="DD8" s="375">
        <v>-2603</v>
      </c>
      <c r="DE8" s="376">
        <f>SUM(CZ8:DD8)</f>
        <v>7696</v>
      </c>
      <c r="DF8" s="33"/>
      <c r="DG8" s="374">
        <v>37579</v>
      </c>
      <c r="DH8" s="375">
        <v>10951</v>
      </c>
      <c r="DI8" s="375"/>
      <c r="DJ8" s="375"/>
      <c r="DK8" s="375">
        <v>-11800</v>
      </c>
      <c r="DL8" s="376">
        <f>SUM(DG8:DK8)</f>
        <v>36730</v>
      </c>
      <c r="DM8" s="33"/>
      <c r="DN8" s="374">
        <v>29534</v>
      </c>
      <c r="DO8" s="375">
        <v>8253</v>
      </c>
      <c r="DP8" s="375"/>
      <c r="DQ8" s="375"/>
      <c r="DR8" s="375">
        <v>-9135</v>
      </c>
      <c r="DS8" s="376">
        <f>SUM(DN8:DR8)</f>
        <v>28652</v>
      </c>
      <c r="DT8" s="33"/>
      <c r="DU8" s="374">
        <v>22330</v>
      </c>
      <c r="DV8" s="375">
        <v>6407</v>
      </c>
      <c r="DW8" s="375"/>
      <c r="DX8" s="375"/>
      <c r="DY8" s="375">
        <v>-6724</v>
      </c>
      <c r="DZ8" s="376">
        <f>SUM(DU8:DY8)</f>
        <v>22013</v>
      </c>
      <c r="EA8" s="33"/>
      <c r="EB8" s="374">
        <v>15003</v>
      </c>
      <c r="EC8" s="375">
        <v>4560</v>
      </c>
      <c r="ED8" s="375"/>
      <c r="EE8" s="375"/>
      <c r="EF8" s="375">
        <v>-4604</v>
      </c>
      <c r="EG8" s="376">
        <f>SUM(EB8:EF8)</f>
        <v>14959</v>
      </c>
      <c r="EH8" s="33"/>
      <c r="EI8" s="374">
        <v>7167</v>
      </c>
      <c r="EJ8" s="375">
        <v>2214</v>
      </c>
      <c r="EK8" s="375"/>
      <c r="EL8" s="375"/>
      <c r="EM8" s="375">
        <v>-2324</v>
      </c>
      <c r="EN8" s="376">
        <f>SUM(EI8:EM8)</f>
        <v>7057</v>
      </c>
      <c r="EO8" s="33"/>
      <c r="EP8" s="374">
        <v>27271</v>
      </c>
      <c r="EQ8" s="375">
        <v>8365</v>
      </c>
      <c r="ER8" s="375"/>
      <c r="ES8" s="375"/>
      <c r="ET8" s="375">
        <v>-9147</v>
      </c>
      <c r="EU8" s="376">
        <f>SUM(EP8:ET8)</f>
        <v>26489</v>
      </c>
      <c r="EV8" s="33"/>
      <c r="EW8" s="374">
        <v>20947</v>
      </c>
      <c r="EX8" s="375">
        <v>6644</v>
      </c>
      <c r="EY8" s="375"/>
      <c r="EZ8" s="375"/>
      <c r="FA8" s="375">
        <v>-7220</v>
      </c>
      <c r="FB8" s="376">
        <f>SUM(EW8:FA8)</f>
        <v>20371</v>
      </c>
      <c r="FC8" s="33"/>
      <c r="FD8" s="374">
        <v>14627</v>
      </c>
      <c r="FE8" s="375">
        <v>5216</v>
      </c>
      <c r="FF8" s="375"/>
      <c r="FG8" s="375"/>
      <c r="FH8" s="375">
        <v>-5671</v>
      </c>
      <c r="FI8" s="376">
        <f>SUM(FD8:FH8)</f>
        <v>14172</v>
      </c>
      <c r="FJ8" s="33"/>
      <c r="FK8" s="374">
        <v>7184</v>
      </c>
      <c r="FL8" s="375">
        <v>2647</v>
      </c>
      <c r="FM8" s="375"/>
      <c r="FN8" s="375"/>
      <c r="FO8" s="375">
        <v>-3013</v>
      </c>
      <c r="FP8" s="376">
        <f>SUM(FK8:FO8)</f>
        <v>6818</v>
      </c>
      <c r="FQ8" s="33"/>
      <c r="FR8" s="374">
        <v>27244</v>
      </c>
      <c r="FS8" s="375">
        <v>8495</v>
      </c>
      <c r="FT8" s="375"/>
      <c r="FU8" s="375"/>
      <c r="FV8" s="375">
        <v>-9308</v>
      </c>
      <c r="FW8" s="376">
        <f>SUM(FR8:FV8)</f>
        <v>26431</v>
      </c>
      <c r="FX8" s="33"/>
      <c r="FY8" s="374">
        <v>20890</v>
      </c>
      <c r="FZ8" s="375">
        <v>6686</v>
      </c>
      <c r="GA8" s="375"/>
      <c r="GB8" s="375"/>
      <c r="GC8" s="375">
        <f>-7174</f>
        <v>-7174</v>
      </c>
      <c r="GD8" s="376">
        <f>SUM(FY8:GC8)</f>
        <v>20402</v>
      </c>
      <c r="GE8" s="33"/>
      <c r="GF8" s="374">
        <v>14184</v>
      </c>
      <c r="GG8" s="375">
        <v>5066</v>
      </c>
      <c r="GH8" s="375"/>
      <c r="GI8" s="375"/>
      <c r="GJ8" s="375">
        <f>-5352</f>
        <v>-5352</v>
      </c>
      <c r="GK8" s="376">
        <f>SUM(GF8:GJ8)</f>
        <v>13898</v>
      </c>
      <c r="GL8" s="33"/>
      <c r="GM8" s="374">
        <v>7047</v>
      </c>
      <c r="GN8" s="375">
        <v>2445</v>
      </c>
      <c r="GO8" s="375"/>
      <c r="GP8" s="375"/>
      <c r="GQ8" s="375">
        <f>-2594</f>
        <v>-2594</v>
      </c>
      <c r="GR8" s="376">
        <f>SUM(GM8:GQ8)</f>
        <v>6898</v>
      </c>
      <c r="GS8" s="33"/>
      <c r="GT8" s="374">
        <v>26206</v>
      </c>
      <c r="GU8" s="375">
        <v>7602</v>
      </c>
      <c r="GV8" s="375"/>
      <c r="GW8" s="375"/>
      <c r="GX8" s="375">
        <v>-8914</v>
      </c>
      <c r="GY8" s="376">
        <f>SUM(GT8:GX8)</f>
        <v>24894</v>
      </c>
      <c r="GZ8" s="33"/>
      <c r="HA8" s="374">
        <v>20016</v>
      </c>
      <c r="HB8" s="375">
        <v>5877</v>
      </c>
      <c r="HC8" s="375"/>
      <c r="HD8" s="375"/>
      <c r="HE8" s="375">
        <v>-6716</v>
      </c>
      <c r="HF8" s="376">
        <f>SUM(HA8:HE8)</f>
        <v>19177</v>
      </c>
      <c r="HG8" s="33"/>
      <c r="HH8" s="374">
        <v>13602</v>
      </c>
      <c r="HI8" s="375">
        <v>4268</v>
      </c>
      <c r="HJ8" s="375"/>
      <c r="HK8" s="375"/>
      <c r="HL8" s="375">
        <v>-4780</v>
      </c>
      <c r="HM8" s="376">
        <f>SUM(HH8:HL8)</f>
        <v>13090</v>
      </c>
      <c r="HN8" s="33"/>
      <c r="HO8" s="374">
        <v>6934</v>
      </c>
      <c r="HP8" s="375">
        <v>2084</v>
      </c>
      <c r="HQ8" s="375"/>
      <c r="HR8" s="375"/>
      <c r="HS8" s="375">
        <v>-2341</v>
      </c>
      <c r="HT8" s="376">
        <f>SUM(HO8:HS8)</f>
        <v>6677</v>
      </c>
      <c r="HU8" s="33"/>
      <c r="HV8" s="33">
        <v>23726</v>
      </c>
      <c r="HW8" s="33">
        <v>5667</v>
      </c>
      <c r="HX8" s="33">
        <v>4650</v>
      </c>
      <c r="HY8" s="33"/>
      <c r="HZ8" s="354">
        <f>-18-6347</f>
        <v>-6365</v>
      </c>
      <c r="IA8" s="33">
        <f>SUM(HV8:HZ8)</f>
        <v>27678</v>
      </c>
      <c r="IB8" s="33"/>
      <c r="IC8" s="9">
        <v>17982</v>
      </c>
      <c r="ID8" s="9">
        <v>4356</v>
      </c>
      <c r="IE8" s="9">
        <v>3564</v>
      </c>
      <c r="IF8" s="9"/>
      <c r="IG8" s="9">
        <v>-4805</v>
      </c>
      <c r="IH8" s="9">
        <f>SUM(IC8:IG8)</f>
        <v>21097</v>
      </c>
      <c r="II8" s="127"/>
      <c r="IJ8" s="33">
        <v>12296</v>
      </c>
      <c r="IK8" s="33">
        <v>3444</v>
      </c>
      <c r="IL8" s="33">
        <v>2350</v>
      </c>
      <c r="IM8" s="33"/>
      <c r="IN8" s="354">
        <v>-3708</v>
      </c>
      <c r="IO8" s="33">
        <v>14382</v>
      </c>
      <c r="IP8" s="127"/>
      <c r="IQ8" s="9">
        <f>5880-2</f>
        <v>5878</v>
      </c>
      <c r="IR8" s="9">
        <v>1673</v>
      </c>
      <c r="IS8" s="9">
        <v>1198</v>
      </c>
      <c r="IT8" s="9"/>
      <c r="IU8" s="33">
        <v>-1848</v>
      </c>
      <c r="IV8" s="33">
        <f>SUM(IQ8:IU8)</f>
        <v>6901</v>
      </c>
    </row>
    <row r="9" spans="1:256">
      <c r="A9" s="30" t="s">
        <v>522</v>
      </c>
      <c r="B9" s="30"/>
      <c r="C9" s="30"/>
      <c r="D9" s="30"/>
      <c r="E9" s="30"/>
      <c r="F9" s="374"/>
      <c r="G9" s="375">
        <v>0</v>
      </c>
      <c r="H9" s="375"/>
      <c r="I9" s="375"/>
      <c r="J9" s="375"/>
      <c r="K9" s="376">
        <f>SUM(F9:J9)</f>
        <v>0</v>
      </c>
      <c r="L9" s="33"/>
      <c r="M9" s="555"/>
      <c r="N9" s="556"/>
      <c r="O9" s="556"/>
      <c r="P9" s="556"/>
      <c r="Q9" s="556"/>
      <c r="R9" s="557">
        <f>SUM(M9:Q9)</f>
        <v>0</v>
      </c>
      <c r="S9" s="366"/>
      <c r="T9" s="33">
        <f t="shared" si="0"/>
        <v>0</v>
      </c>
      <c r="U9" s="33">
        <f t="shared" si="1"/>
        <v>0</v>
      </c>
      <c r="V9" s="33">
        <f t="shared" si="2"/>
        <v>0</v>
      </c>
      <c r="W9" s="33">
        <f t="shared" si="3"/>
        <v>0</v>
      </c>
      <c r="X9" s="33">
        <f t="shared" si="4"/>
        <v>0</v>
      </c>
      <c r="Y9" s="33">
        <f t="shared" si="5"/>
        <v>0</v>
      </c>
      <c r="Z9" s="33"/>
      <c r="AA9" s="555"/>
      <c r="AB9" s="556">
        <v>0</v>
      </c>
      <c r="AC9" s="556"/>
      <c r="AD9" s="556"/>
      <c r="AE9" s="556"/>
      <c r="AF9" s="557">
        <f>SUM(AA9:AE9)</f>
        <v>0</v>
      </c>
      <c r="AG9" s="33"/>
      <c r="AH9" s="374"/>
      <c r="AI9" s="375">
        <v>0</v>
      </c>
      <c r="AJ9" s="375"/>
      <c r="AK9" s="375"/>
      <c r="AL9" s="375"/>
      <c r="AM9" s="376">
        <f>SUM(AH9:AL9)</f>
        <v>0</v>
      </c>
      <c r="AN9" s="33"/>
      <c r="AO9" s="374"/>
      <c r="AP9" s="375">
        <v>0</v>
      </c>
      <c r="AQ9" s="375"/>
      <c r="AR9" s="375"/>
      <c r="AS9" s="375"/>
      <c r="AT9" s="376">
        <f>SUM(AO9:AS9)</f>
        <v>0</v>
      </c>
      <c r="AU9" s="33"/>
      <c r="AV9" s="374"/>
      <c r="AW9" s="375">
        <v>0</v>
      </c>
      <c r="AX9" s="375"/>
      <c r="AY9" s="375"/>
      <c r="AZ9" s="375"/>
      <c r="BA9" s="376">
        <f>SUM(AV9:AZ9)</f>
        <v>0</v>
      </c>
      <c r="BB9" s="33"/>
      <c r="BC9" s="374"/>
      <c r="BD9" s="375">
        <v>0</v>
      </c>
      <c r="BE9" s="375"/>
      <c r="BF9" s="375"/>
      <c r="BG9" s="375"/>
      <c r="BH9" s="376">
        <f>SUM(BC9:BG9)</f>
        <v>0</v>
      </c>
      <c r="BI9" s="33"/>
      <c r="BJ9" s="374"/>
      <c r="BK9" s="375">
        <v>0</v>
      </c>
      <c r="BL9" s="375"/>
      <c r="BM9" s="375"/>
      <c r="BN9" s="375"/>
      <c r="BO9" s="376">
        <f>SUM(BJ9:BN9)</f>
        <v>0</v>
      </c>
      <c r="BP9" s="33"/>
      <c r="BQ9" s="374"/>
      <c r="BR9" s="375">
        <v>0</v>
      </c>
      <c r="BS9" s="375"/>
      <c r="BT9" s="375"/>
      <c r="BU9" s="375"/>
      <c r="BV9" s="376">
        <f>SUM(BQ9:BU9)</f>
        <v>0</v>
      </c>
      <c r="BW9" s="33"/>
      <c r="BX9" s="374"/>
      <c r="BY9" s="375">
        <v>0</v>
      </c>
      <c r="BZ9" s="375"/>
      <c r="CA9" s="375"/>
      <c r="CB9" s="375"/>
      <c r="CC9" s="376">
        <f>SUM(BX9:CB9)</f>
        <v>0</v>
      </c>
      <c r="CD9" s="33"/>
      <c r="CE9" s="374"/>
      <c r="CF9" s="375">
        <v>0</v>
      </c>
      <c r="CG9" s="375"/>
      <c r="CH9" s="375"/>
      <c r="CI9" s="375"/>
      <c r="CJ9" s="376">
        <f>SUM(CE9:CI9)</f>
        <v>0</v>
      </c>
      <c r="CK9" s="33"/>
      <c r="CL9" s="374"/>
      <c r="CM9" s="375">
        <v>0</v>
      </c>
      <c r="CN9" s="375"/>
      <c r="CO9" s="375"/>
      <c r="CP9" s="375"/>
      <c r="CQ9" s="376">
        <f>SUM(CL9:CP9)</f>
        <v>0</v>
      </c>
      <c r="CR9" s="33"/>
      <c r="CS9" s="374"/>
      <c r="CT9" s="375">
        <v>0</v>
      </c>
      <c r="CU9" s="375"/>
      <c r="CV9" s="375"/>
      <c r="CW9" s="375"/>
      <c r="CX9" s="376">
        <f>SUM(CS9:CW9)</f>
        <v>0</v>
      </c>
      <c r="CY9" s="33"/>
      <c r="CZ9" s="374"/>
      <c r="DA9" s="375">
        <v>0</v>
      </c>
      <c r="DB9" s="375"/>
      <c r="DC9" s="375"/>
      <c r="DD9" s="375"/>
      <c r="DE9" s="376">
        <f>SUM(CZ9:DD9)</f>
        <v>0</v>
      </c>
      <c r="DF9" s="33"/>
      <c r="DG9" s="374"/>
      <c r="DH9" s="375">
        <v>0</v>
      </c>
      <c r="DI9" s="375"/>
      <c r="DJ9" s="375"/>
      <c r="DK9" s="375"/>
      <c r="DL9" s="376">
        <f>SUM(DG9:DK9)</f>
        <v>0</v>
      </c>
      <c r="DM9" s="33"/>
      <c r="DN9" s="374"/>
      <c r="DO9" s="375">
        <v>0</v>
      </c>
      <c r="DP9" s="375"/>
      <c r="DQ9" s="375"/>
      <c r="DR9" s="375"/>
      <c r="DS9" s="376">
        <f>SUM(DN9:DR9)</f>
        <v>0</v>
      </c>
      <c r="DT9" s="33"/>
      <c r="DU9" s="374"/>
      <c r="DV9" s="375">
        <v>0</v>
      </c>
      <c r="DW9" s="375"/>
      <c r="DX9" s="375"/>
      <c r="DY9" s="375"/>
      <c r="DZ9" s="376">
        <f>SUM(DU9:DY9)</f>
        <v>0</v>
      </c>
      <c r="EA9" s="33"/>
      <c r="EB9" s="374"/>
      <c r="EC9" s="375">
        <v>0</v>
      </c>
      <c r="ED9" s="375"/>
      <c r="EE9" s="375"/>
      <c r="EF9" s="375"/>
      <c r="EG9" s="376">
        <f>SUM(EB9:EF9)</f>
        <v>0</v>
      </c>
      <c r="EH9" s="33"/>
      <c r="EI9" s="374"/>
      <c r="EJ9" s="375">
        <v>0</v>
      </c>
      <c r="EK9" s="375"/>
      <c r="EL9" s="375"/>
      <c r="EM9" s="375"/>
      <c r="EN9" s="376">
        <f>SUM(EI9:EM9)</f>
        <v>0</v>
      </c>
      <c r="EO9" s="33"/>
      <c r="EP9" s="374"/>
      <c r="EQ9" s="375">
        <v>1659</v>
      </c>
      <c r="ER9" s="375"/>
      <c r="ES9" s="375"/>
      <c r="ET9" s="375"/>
      <c r="EU9" s="376">
        <f>SUM(EP9:ET9)</f>
        <v>1659</v>
      </c>
      <c r="EV9" s="33"/>
      <c r="EW9" s="374"/>
      <c r="EX9" s="375">
        <v>1452</v>
      </c>
      <c r="EY9" s="375"/>
      <c r="EZ9" s="375"/>
      <c r="FA9" s="375"/>
      <c r="FB9" s="376">
        <f>SUM(EW9:FA9)</f>
        <v>1452</v>
      </c>
      <c r="FC9" s="33"/>
      <c r="FD9" s="374"/>
      <c r="FE9" s="375">
        <v>1013</v>
      </c>
      <c r="FF9" s="375"/>
      <c r="FG9" s="375"/>
      <c r="FH9" s="375"/>
      <c r="FI9" s="376">
        <f>SUM(FD9:FH9)</f>
        <v>1013</v>
      </c>
      <c r="FJ9" s="33"/>
      <c r="FK9" s="374"/>
      <c r="FL9" s="375">
        <v>124</v>
      </c>
      <c r="FM9" s="375"/>
      <c r="FN9" s="375"/>
      <c r="FO9" s="375"/>
      <c r="FP9" s="376">
        <f>SUM(FK9:FO9)</f>
        <v>124</v>
      </c>
      <c r="FQ9" s="33"/>
      <c r="FR9" s="374"/>
      <c r="FS9" s="375">
        <v>965</v>
      </c>
      <c r="FT9" s="375"/>
      <c r="FU9" s="375"/>
      <c r="FV9" s="375"/>
      <c r="FW9" s="376">
        <f>SUM(FR9:FV9)</f>
        <v>965</v>
      </c>
      <c r="FX9" s="33"/>
      <c r="FY9" s="374"/>
      <c r="FZ9" s="375">
        <v>885</v>
      </c>
      <c r="GA9" s="375"/>
      <c r="GB9" s="375"/>
      <c r="GC9" s="375"/>
      <c r="GD9" s="376">
        <f>SUM(FY9:GC9)</f>
        <v>885</v>
      </c>
      <c r="GE9" s="33"/>
      <c r="GF9" s="374"/>
      <c r="GG9" s="375">
        <v>668</v>
      </c>
      <c r="GH9" s="375"/>
      <c r="GI9" s="375"/>
      <c r="GJ9" s="375"/>
      <c r="GK9" s="376">
        <f>SUM(GF9:GJ9)</f>
        <v>668</v>
      </c>
      <c r="GL9" s="33"/>
      <c r="GM9" s="374"/>
      <c r="GN9" s="375">
        <v>310</v>
      </c>
      <c r="GO9" s="375"/>
      <c r="GP9" s="375"/>
      <c r="GQ9" s="375"/>
      <c r="GR9" s="376">
        <f>SUM(GM9:GQ9)</f>
        <v>310</v>
      </c>
      <c r="GS9" s="33"/>
      <c r="GT9" s="374"/>
      <c r="GU9" s="375">
        <v>1084</v>
      </c>
      <c r="GV9" s="375"/>
      <c r="GW9" s="375"/>
      <c r="GX9" s="375"/>
      <c r="GY9" s="376">
        <f>SUM(GT9:GX9)</f>
        <v>1084</v>
      </c>
      <c r="GZ9" s="33"/>
      <c r="HA9" s="374"/>
      <c r="HB9" s="375">
        <v>855</v>
      </c>
      <c r="HC9" s="375"/>
      <c r="HD9" s="375"/>
      <c r="HE9" s="375"/>
      <c r="HF9" s="376">
        <f>SUM(HA9:HE9)</f>
        <v>855</v>
      </c>
      <c r="HG9" s="33"/>
      <c r="HH9" s="374"/>
      <c r="HI9" s="375">
        <v>594</v>
      </c>
      <c r="HJ9" s="375"/>
      <c r="HK9" s="375"/>
      <c r="HL9" s="375"/>
      <c r="HM9" s="376">
        <f>SUM(HH9:HL9)</f>
        <v>594</v>
      </c>
      <c r="HN9" s="33"/>
      <c r="HO9" s="374"/>
      <c r="HP9" s="375">
        <v>309</v>
      </c>
      <c r="HQ9" s="375"/>
      <c r="HR9" s="375"/>
      <c r="HS9" s="375"/>
      <c r="HT9" s="376">
        <f>SUM(HO9:HS9)</f>
        <v>309</v>
      </c>
      <c r="HU9" s="33"/>
      <c r="HV9" s="33"/>
      <c r="HW9" s="33"/>
      <c r="HX9" s="33"/>
      <c r="HY9" s="33"/>
      <c r="HZ9" s="33"/>
      <c r="IA9" s="33"/>
      <c r="IB9" s="33"/>
      <c r="IC9" s="9"/>
      <c r="ID9" s="9">
        <f>230+251+165</f>
        <v>646</v>
      </c>
      <c r="IE9" s="9"/>
      <c r="IF9" s="9"/>
      <c r="IG9" s="9"/>
      <c r="IH9" s="9">
        <f>SUM(IC9:IG9)</f>
        <v>646</v>
      </c>
      <c r="II9" s="127"/>
      <c r="IJ9" s="33"/>
      <c r="IK9" s="9">
        <f>230+251</f>
        <v>481</v>
      </c>
      <c r="IL9" s="33"/>
      <c r="IM9" s="33"/>
      <c r="IN9" s="33"/>
      <c r="IO9" s="33">
        <f>SUM(IJ9:IN9)</f>
        <v>481</v>
      </c>
      <c r="IP9" s="127"/>
      <c r="IQ9" s="9"/>
      <c r="IR9" s="9">
        <v>230</v>
      </c>
      <c r="IS9" s="9"/>
      <c r="IT9" s="9"/>
      <c r="IU9" s="33"/>
      <c r="IV9" s="33">
        <f>SUM(IQ9:IU9)</f>
        <v>230</v>
      </c>
    </row>
    <row r="10" spans="1:256">
      <c r="A10" s="30" t="s">
        <v>574</v>
      </c>
      <c r="B10" s="30"/>
      <c r="C10" s="30"/>
      <c r="D10" s="30"/>
      <c r="E10" s="30"/>
      <c r="F10" s="357">
        <v>77316</v>
      </c>
      <c r="G10" s="366">
        <v>34966</v>
      </c>
      <c r="H10" s="366"/>
      <c r="I10" s="366"/>
      <c r="J10" s="366">
        <v>-34707</v>
      </c>
      <c r="K10" s="358">
        <f>SUM(F10:J10)</f>
        <v>77575</v>
      </c>
      <c r="L10" s="33"/>
      <c r="M10" s="558"/>
      <c r="N10" s="477"/>
      <c r="O10" s="477"/>
      <c r="P10" s="477"/>
      <c r="Q10" s="477"/>
      <c r="R10" s="559">
        <f>SUM(M10:Q10)</f>
        <v>0</v>
      </c>
      <c r="S10" s="366"/>
      <c r="T10" s="33">
        <f t="shared" si="0"/>
        <v>77316</v>
      </c>
      <c r="U10" s="33">
        <f t="shared" si="1"/>
        <v>34966</v>
      </c>
      <c r="V10" s="33">
        <f t="shared" si="2"/>
        <v>0</v>
      </c>
      <c r="W10" s="33">
        <f t="shared" si="3"/>
        <v>0</v>
      </c>
      <c r="X10" s="33">
        <f t="shared" si="4"/>
        <v>-34707</v>
      </c>
      <c r="Y10" s="33">
        <f t="shared" si="5"/>
        <v>77575</v>
      </c>
      <c r="Z10" s="33"/>
      <c r="AA10" s="558">
        <v>287359</v>
      </c>
      <c r="AB10" s="477">
        <f>116543</f>
        <v>116543</v>
      </c>
      <c r="AC10" s="477"/>
      <c r="AD10" s="477"/>
      <c r="AE10" s="477">
        <v>-107316</v>
      </c>
      <c r="AF10" s="559">
        <f>SUM(AA10:AE10)</f>
        <v>296586</v>
      </c>
      <c r="AG10" s="33"/>
      <c r="AH10" s="357">
        <v>210606</v>
      </c>
      <c r="AI10" s="366">
        <v>81828</v>
      </c>
      <c r="AJ10" s="366"/>
      <c r="AK10" s="366"/>
      <c r="AL10" s="366">
        <v>-77478</v>
      </c>
      <c r="AM10" s="358">
        <f>SUM(AH10:AL10)</f>
        <v>214956</v>
      </c>
      <c r="AN10" s="33"/>
      <c r="AO10" s="357">
        <v>139366</v>
      </c>
      <c r="AP10" s="366">
        <v>55680</v>
      </c>
      <c r="AQ10" s="366"/>
      <c r="AR10" s="366"/>
      <c r="AS10" s="366">
        <v>-50038</v>
      </c>
      <c r="AT10" s="358">
        <f>SUM(AO10:AS10)</f>
        <v>145008</v>
      </c>
      <c r="AU10" s="33"/>
      <c r="AV10" s="357">
        <v>71650</v>
      </c>
      <c r="AW10" s="366">
        <v>28616</v>
      </c>
      <c r="AX10" s="366"/>
      <c r="AY10" s="366"/>
      <c r="AZ10" s="366">
        <v>-26072</v>
      </c>
      <c r="BA10" s="358">
        <f>SUM(AV10:AZ10)</f>
        <v>74194</v>
      </c>
      <c r="BB10" s="33"/>
      <c r="BC10" s="357">
        <v>242096</v>
      </c>
      <c r="BD10" s="366">
        <v>93280</v>
      </c>
      <c r="BE10" s="366"/>
      <c r="BF10" s="366"/>
      <c r="BG10" s="366">
        <v>-81372</v>
      </c>
      <c r="BH10" s="358">
        <f>SUM(BC10:BG10)</f>
        <v>254004</v>
      </c>
      <c r="BI10" s="33"/>
      <c r="BJ10" s="357">
        <v>170232</v>
      </c>
      <c r="BK10" s="366">
        <v>65199</v>
      </c>
      <c r="BL10" s="366"/>
      <c r="BM10" s="366"/>
      <c r="BN10" s="366">
        <v>-56289</v>
      </c>
      <c r="BO10" s="358">
        <f>SUM(BJ10:BN10)</f>
        <v>179142</v>
      </c>
      <c r="BP10" s="33"/>
      <c r="BQ10" s="357">
        <v>104452</v>
      </c>
      <c r="BR10" s="366">
        <v>43080</v>
      </c>
      <c r="BS10" s="366"/>
      <c r="BT10" s="366"/>
      <c r="BU10" s="366">
        <v>-34782</v>
      </c>
      <c r="BV10" s="358">
        <f>SUM(BQ10:BU10)</f>
        <v>112750</v>
      </c>
      <c r="BW10" s="33"/>
      <c r="BX10" s="357">
        <v>48043</v>
      </c>
      <c r="BY10" s="366">
        <v>23528</v>
      </c>
      <c r="BZ10" s="366"/>
      <c r="CA10" s="366"/>
      <c r="CB10" s="366">
        <v>-19523</v>
      </c>
      <c r="CC10" s="358">
        <f>SUM(BX10:CB10)</f>
        <v>52048</v>
      </c>
      <c r="CD10" s="33"/>
      <c r="CE10" s="357">
        <v>286887</v>
      </c>
      <c r="CF10" s="366">
        <v>118338</v>
      </c>
      <c r="CG10" s="366"/>
      <c r="CH10" s="366"/>
      <c r="CI10" s="366">
        <v>-102371</v>
      </c>
      <c r="CJ10" s="358">
        <f>SUM(CE10:CI10)</f>
        <v>302854</v>
      </c>
      <c r="CK10" s="33"/>
      <c r="CL10" s="357">
        <v>249865</v>
      </c>
      <c r="CM10" s="366">
        <v>98246</v>
      </c>
      <c r="CN10" s="366"/>
      <c r="CO10" s="366"/>
      <c r="CP10" s="366">
        <v>-87194</v>
      </c>
      <c r="CQ10" s="358">
        <f>SUM(CL10:CP10)</f>
        <v>260917</v>
      </c>
      <c r="CR10" s="33"/>
      <c r="CS10" s="357">
        <v>186426</v>
      </c>
      <c r="CT10" s="366">
        <v>68803</v>
      </c>
      <c r="CU10" s="366"/>
      <c r="CV10" s="366"/>
      <c r="CW10" s="366">
        <v>-62287</v>
      </c>
      <c r="CX10" s="358">
        <f>SUM(CS10:CW10)</f>
        <v>192942</v>
      </c>
      <c r="CY10" s="33"/>
      <c r="CZ10" s="357">
        <f>95785</f>
        <v>95785</v>
      </c>
      <c r="DA10" s="366">
        <f>38696</f>
        <v>38696</v>
      </c>
      <c r="DB10" s="366"/>
      <c r="DC10" s="366"/>
      <c r="DD10" s="366">
        <v>-32130</v>
      </c>
      <c r="DE10" s="358">
        <f>SUM(CZ10:DD10)</f>
        <v>102351</v>
      </c>
      <c r="DF10" s="33"/>
      <c r="DG10" s="357">
        <f>378647+93432</f>
        <v>472079</v>
      </c>
      <c r="DH10" s="366">
        <f>128676+39004</f>
        <v>167680</v>
      </c>
      <c r="DI10" s="366"/>
      <c r="DJ10" s="366"/>
      <c r="DK10" s="366">
        <f>-116190-31395</f>
        <v>-147585</v>
      </c>
      <c r="DL10" s="358">
        <f>SUM(DG10:DK10)</f>
        <v>492174</v>
      </c>
      <c r="DM10" s="33"/>
      <c r="DN10" s="357">
        <v>378647</v>
      </c>
      <c r="DO10" s="366">
        <v>128676</v>
      </c>
      <c r="DP10" s="366"/>
      <c r="DQ10" s="366"/>
      <c r="DR10" s="366">
        <v>-116190</v>
      </c>
      <c r="DS10" s="358">
        <f>SUM(DN10:DR10)</f>
        <v>391133</v>
      </c>
      <c r="DT10" s="33"/>
      <c r="DU10" s="357">
        <f>292202+1</f>
        <v>292203</v>
      </c>
      <c r="DV10" s="366">
        <v>101380</v>
      </c>
      <c r="DW10" s="366"/>
      <c r="DX10" s="366"/>
      <c r="DY10" s="366">
        <v>-87542</v>
      </c>
      <c r="DZ10" s="358">
        <f>SUM(DU10:DY10)</f>
        <v>306041</v>
      </c>
      <c r="EA10" s="33"/>
      <c r="EB10" s="357">
        <v>197599</v>
      </c>
      <c r="EC10" s="366">
        <v>72274</v>
      </c>
      <c r="ED10" s="366"/>
      <c r="EE10" s="366"/>
      <c r="EF10" s="366">
        <v>-60535</v>
      </c>
      <c r="EG10" s="358">
        <f>SUM(EB10:EF10)</f>
        <v>209338</v>
      </c>
      <c r="EH10" s="33"/>
      <c r="EI10" s="357">
        <v>95054</v>
      </c>
      <c r="EJ10" s="366">
        <v>35096</v>
      </c>
      <c r="EK10" s="366"/>
      <c r="EL10" s="366"/>
      <c r="EM10" s="366">
        <v>-30790</v>
      </c>
      <c r="EN10" s="358">
        <f>SUM(EI10:EM10)</f>
        <v>99360</v>
      </c>
      <c r="EO10" s="33"/>
      <c r="EP10" s="357">
        <v>344235</v>
      </c>
      <c r="EQ10" s="366">
        <v>128002</v>
      </c>
      <c r="ER10" s="366"/>
      <c r="ES10" s="366"/>
      <c r="ET10" s="366">
        <v>-111994</v>
      </c>
      <c r="EU10" s="358">
        <f>SUM(EP10:ET10)</f>
        <v>360243</v>
      </c>
      <c r="EV10" s="33"/>
      <c r="EW10" s="357">
        <v>262082</v>
      </c>
      <c r="EX10" s="366">
        <v>100517</v>
      </c>
      <c r="EY10" s="366"/>
      <c r="EZ10" s="366"/>
      <c r="FA10" s="366">
        <v>-87271</v>
      </c>
      <c r="FB10" s="358">
        <f>SUM(EW10:FA10)</f>
        <v>275328</v>
      </c>
      <c r="FC10" s="33"/>
      <c r="FD10" s="357">
        <v>177310</v>
      </c>
      <c r="FE10" s="366">
        <v>77690</v>
      </c>
      <c r="FF10" s="366"/>
      <c r="FG10" s="366"/>
      <c r="FH10" s="366">
        <v>-67087</v>
      </c>
      <c r="FI10" s="358">
        <f>SUM(FD10:FH10)</f>
        <v>187913</v>
      </c>
      <c r="FJ10" s="33"/>
      <c r="FK10" s="357">
        <v>83312</v>
      </c>
      <c r="FL10" s="366">
        <v>38378</v>
      </c>
      <c r="FM10" s="366"/>
      <c r="FN10" s="366"/>
      <c r="FO10" s="366">
        <v>-34248</v>
      </c>
      <c r="FP10" s="358">
        <f>SUM(FK10:FO10)</f>
        <v>87442</v>
      </c>
      <c r="FQ10" s="33"/>
      <c r="FR10" s="357">
        <v>291131</v>
      </c>
      <c r="FS10" s="366">
        <v>117994</v>
      </c>
      <c r="FT10" s="366"/>
      <c r="FU10" s="366"/>
      <c r="FV10" s="366">
        <v>-98348</v>
      </c>
      <c r="FW10" s="358">
        <f>SUM(FR10:FV10)</f>
        <v>310777</v>
      </c>
      <c r="FX10" s="33"/>
      <c r="FY10" s="357">
        <v>222720</v>
      </c>
      <c r="FZ10" s="366">
        <v>92926</v>
      </c>
      <c r="GA10" s="366"/>
      <c r="GB10" s="366"/>
      <c r="GC10" s="366">
        <v>-75747</v>
      </c>
      <c r="GD10" s="358">
        <f>SUM(FY10:GC10)</f>
        <v>239899</v>
      </c>
      <c r="GE10" s="33"/>
      <c r="GF10" s="357">
        <v>151891</v>
      </c>
      <c r="GG10" s="366">
        <v>70831</v>
      </c>
      <c r="GH10" s="366"/>
      <c r="GI10" s="366"/>
      <c r="GJ10" s="366">
        <v>-57069</v>
      </c>
      <c r="GK10" s="358">
        <f>SUM(GF10:GJ10)</f>
        <v>165653</v>
      </c>
      <c r="GL10" s="33"/>
      <c r="GM10" s="357">
        <v>73911</v>
      </c>
      <c r="GN10" s="366">
        <v>33867</v>
      </c>
      <c r="GO10" s="366"/>
      <c r="GP10" s="366"/>
      <c r="GQ10" s="366">
        <v>-27247</v>
      </c>
      <c r="GR10" s="358">
        <f>SUM(GM10:GQ10)</f>
        <v>80531</v>
      </c>
      <c r="GS10" s="33"/>
      <c r="GT10" s="357">
        <v>257278</v>
      </c>
      <c r="GU10" s="366">
        <v>100481</v>
      </c>
      <c r="GV10" s="366"/>
      <c r="GW10" s="366"/>
      <c r="GX10" s="366">
        <v>-87487</v>
      </c>
      <c r="GY10" s="358">
        <f>SUM(GT10:GX10)</f>
        <v>270272</v>
      </c>
      <c r="GZ10" s="33"/>
      <c r="HA10" s="357">
        <v>193459</v>
      </c>
      <c r="HB10" s="366">
        <v>77242</v>
      </c>
      <c r="HC10" s="366"/>
      <c r="HD10" s="366"/>
      <c r="HE10" s="366">
        <v>-65131</v>
      </c>
      <c r="HF10" s="358">
        <f>SUM(HA10:HE10)</f>
        <v>205570</v>
      </c>
      <c r="HG10" s="33"/>
      <c r="HH10" s="357">
        <v>129367</v>
      </c>
      <c r="HI10" s="366">
        <v>55881</v>
      </c>
      <c r="HJ10" s="366"/>
      <c r="HK10" s="366"/>
      <c r="HL10" s="366">
        <v>-46023</v>
      </c>
      <c r="HM10" s="358">
        <f>SUM(HH10:HL10)</f>
        <v>139225</v>
      </c>
      <c r="HN10" s="33"/>
      <c r="HO10" s="357">
        <f>ROUND(63381886/1000,0)-1</f>
        <v>63381</v>
      </c>
      <c r="HP10" s="366">
        <v>26844</v>
      </c>
      <c r="HQ10" s="366"/>
      <c r="HR10" s="366"/>
      <c r="HS10" s="366">
        <v>-21782</v>
      </c>
      <c r="HT10" s="358">
        <f>SUM(HO10:HS10)</f>
        <v>68443</v>
      </c>
      <c r="HU10" s="33"/>
      <c r="HV10" s="354">
        <v>206169</v>
      </c>
      <c r="HW10" s="354">
        <f>69001</f>
        <v>69001</v>
      </c>
      <c r="HX10" s="354">
        <f>43927+13</f>
        <v>43940</v>
      </c>
      <c r="HY10" s="354"/>
      <c r="HZ10" s="356">
        <v>-55755</v>
      </c>
      <c r="IA10" s="354">
        <f>SUM(HV10:HZ10)</f>
        <v>263355</v>
      </c>
      <c r="IB10" s="33"/>
      <c r="IC10" s="354">
        <v>155843</v>
      </c>
      <c r="ID10" s="354">
        <v>52712</v>
      </c>
      <c r="IE10" s="354">
        <f>33720+13</f>
        <v>33733</v>
      </c>
      <c r="IF10" s="354"/>
      <c r="IG10" s="356">
        <f>-41881</f>
        <v>-41881</v>
      </c>
      <c r="IH10" s="354">
        <f>SUM(IC10:IG10)</f>
        <v>200407</v>
      </c>
      <c r="II10" s="127"/>
      <c r="IJ10" s="354">
        <v>106259</v>
      </c>
      <c r="IK10" s="354">
        <v>41413</v>
      </c>
      <c r="IL10" s="354">
        <v>22408</v>
      </c>
      <c r="IM10" s="354"/>
      <c r="IN10" s="356">
        <v>-32257</v>
      </c>
      <c r="IO10" s="354">
        <f>SUM(IJ10:IN10)</f>
        <v>137823</v>
      </c>
      <c r="IP10" s="127"/>
      <c r="IQ10" s="33">
        <v>50980</v>
      </c>
      <c r="IR10" s="33">
        <v>19984</v>
      </c>
      <c r="IS10" s="33">
        <v>11467</v>
      </c>
      <c r="IT10" s="33">
        <v>0</v>
      </c>
      <c r="IU10" s="33">
        <v>-16023</v>
      </c>
      <c r="IV10" s="33">
        <f>SUM(IQ10:IU10)</f>
        <v>66408</v>
      </c>
    </row>
    <row r="11" spans="1:256">
      <c r="A11" s="30" t="s">
        <v>490</v>
      </c>
      <c r="B11" s="30"/>
      <c r="C11" s="30"/>
      <c r="D11" s="30"/>
      <c r="E11" s="30"/>
      <c r="F11" s="374">
        <v>12</v>
      </c>
      <c r="G11" s="366">
        <v>0</v>
      </c>
      <c r="H11" s="366"/>
      <c r="I11" s="366"/>
      <c r="J11" s="366"/>
      <c r="K11" s="358">
        <f>SUM(F11:J11)</f>
        <v>12</v>
      </c>
      <c r="L11" s="33"/>
      <c r="M11" s="555"/>
      <c r="N11" s="477"/>
      <c r="O11" s="477"/>
      <c r="P11" s="477"/>
      <c r="Q11" s="477"/>
      <c r="R11" s="559">
        <f>SUM(M11:Q11)</f>
        <v>0</v>
      </c>
      <c r="S11" s="366"/>
      <c r="T11" s="33">
        <f t="shared" si="0"/>
        <v>12</v>
      </c>
      <c r="U11" s="33">
        <f t="shared" si="1"/>
        <v>0</v>
      </c>
      <c r="V11" s="33">
        <f t="shared" si="2"/>
        <v>0</v>
      </c>
      <c r="W11" s="33">
        <f t="shared" si="3"/>
        <v>0</v>
      </c>
      <c r="X11" s="33">
        <f t="shared" si="4"/>
        <v>0</v>
      </c>
      <c r="Y11" s="33">
        <f t="shared" si="5"/>
        <v>12</v>
      </c>
      <c r="Z11" s="33"/>
      <c r="AA11" s="555">
        <v>8</v>
      </c>
      <c r="AB11" s="477">
        <v>97</v>
      </c>
      <c r="AC11" s="477"/>
      <c r="AD11" s="477"/>
      <c r="AE11" s="477">
        <v>-25</v>
      </c>
      <c r="AF11" s="559">
        <f>SUM(AA11:AE11)</f>
        <v>80</v>
      </c>
      <c r="AG11" s="33"/>
      <c r="AH11" s="374">
        <v>8</v>
      </c>
      <c r="AI11" s="366">
        <v>25</v>
      </c>
      <c r="AJ11" s="366"/>
      <c r="AK11" s="366"/>
      <c r="AL11" s="366">
        <v>-25</v>
      </c>
      <c r="AM11" s="358">
        <f>SUM(AH11:AL11)</f>
        <v>8</v>
      </c>
      <c r="AN11" s="33"/>
      <c r="AO11" s="374">
        <v>0</v>
      </c>
      <c r="AP11" s="366">
        <v>11</v>
      </c>
      <c r="AQ11" s="366"/>
      <c r="AR11" s="366"/>
      <c r="AS11" s="366">
        <v>-11</v>
      </c>
      <c r="AT11" s="358">
        <f>SUM(AO11:AS11)</f>
        <v>0</v>
      </c>
      <c r="AU11" s="33"/>
      <c r="AV11" s="374">
        <v>0</v>
      </c>
      <c r="AW11" s="366">
        <v>11</v>
      </c>
      <c r="AX11" s="366"/>
      <c r="AY11" s="366"/>
      <c r="AZ11" s="366">
        <v>-11</v>
      </c>
      <c r="BA11" s="358">
        <f>SUM(AV11:AZ11)</f>
        <v>0</v>
      </c>
      <c r="BB11" s="33"/>
      <c r="BC11" s="374">
        <v>7</v>
      </c>
      <c r="BD11" s="366">
        <v>27</v>
      </c>
      <c r="BE11" s="366"/>
      <c r="BF11" s="366"/>
      <c r="BG11" s="366">
        <v>-27</v>
      </c>
      <c r="BH11" s="358">
        <f>SUM(BC11:BG11)</f>
        <v>7</v>
      </c>
      <c r="BI11" s="33"/>
      <c r="BJ11" s="374">
        <v>7</v>
      </c>
      <c r="BK11" s="366">
        <v>25</v>
      </c>
      <c r="BL11" s="366"/>
      <c r="BM11" s="366"/>
      <c r="BN11" s="366">
        <v>-25</v>
      </c>
      <c r="BO11" s="358">
        <f>SUM(BJ11:BN11)</f>
        <v>7</v>
      </c>
      <c r="BP11" s="33"/>
      <c r="BQ11" s="374">
        <v>7</v>
      </c>
      <c r="BR11" s="366">
        <v>20</v>
      </c>
      <c r="BS11" s="366"/>
      <c r="BT11" s="366"/>
      <c r="BU11" s="366">
        <v>-20</v>
      </c>
      <c r="BV11" s="358">
        <f>SUM(BQ11:BU11)</f>
        <v>7</v>
      </c>
      <c r="BW11" s="33"/>
      <c r="BX11" s="374">
        <v>0</v>
      </c>
      <c r="BY11" s="366">
        <v>15</v>
      </c>
      <c r="BZ11" s="366"/>
      <c r="CA11" s="366"/>
      <c r="CB11" s="366">
        <v>-15</v>
      </c>
      <c r="CC11" s="358">
        <f>SUM(BX11:CB11)</f>
        <v>0</v>
      </c>
      <c r="CD11" s="33"/>
      <c r="CE11" s="374">
        <v>39</v>
      </c>
      <c r="CF11" s="366">
        <v>27</v>
      </c>
      <c r="CG11" s="366"/>
      <c r="CH11" s="366"/>
      <c r="CI11" s="366">
        <v>-4</v>
      </c>
      <c r="CJ11" s="358">
        <f>SUM(CE11:CI11)</f>
        <v>62</v>
      </c>
      <c r="CK11" s="33"/>
      <c r="CL11" s="374">
        <v>39</v>
      </c>
      <c r="CM11" s="366">
        <v>21</v>
      </c>
      <c r="CN11" s="366"/>
      <c r="CO11" s="366"/>
      <c r="CP11" s="366">
        <v>0</v>
      </c>
      <c r="CQ11" s="358">
        <f>SUM(CL11:CP11)</f>
        <v>60</v>
      </c>
      <c r="CR11" s="33"/>
      <c r="CS11" s="374">
        <v>39</v>
      </c>
      <c r="CT11" s="366">
        <v>21</v>
      </c>
      <c r="CU11" s="366"/>
      <c r="CV11" s="366"/>
      <c r="CW11" s="366">
        <v>0</v>
      </c>
      <c r="CX11" s="358">
        <f>SUM(CS11:CW11)</f>
        <v>60</v>
      </c>
      <c r="CY11" s="33"/>
      <c r="CZ11" s="374">
        <v>30</v>
      </c>
      <c r="DA11" s="366">
        <v>20</v>
      </c>
      <c r="DB11" s="366"/>
      <c r="DC11" s="366"/>
      <c r="DD11" s="366">
        <v>0</v>
      </c>
      <c r="DE11" s="358">
        <f>SUM(CZ11:DD11)</f>
        <v>50</v>
      </c>
      <c r="DF11" s="33"/>
      <c r="DG11" s="374">
        <f>296+0</f>
        <v>296</v>
      </c>
      <c r="DH11" s="366">
        <f>4075+17+6</f>
        <v>4098</v>
      </c>
      <c r="DI11" s="366"/>
      <c r="DJ11" s="366"/>
      <c r="DK11" s="366">
        <f>-17-6</f>
        <v>-23</v>
      </c>
      <c r="DL11" s="358">
        <f>SUM(DG11:DK11)</f>
        <v>4371</v>
      </c>
      <c r="DM11" s="33"/>
      <c r="DN11" s="374">
        <v>296</v>
      </c>
      <c r="DO11" s="366">
        <f>4075+17</f>
        <v>4092</v>
      </c>
      <c r="DP11" s="366"/>
      <c r="DQ11" s="366"/>
      <c r="DR11" s="366">
        <v>-17</v>
      </c>
      <c r="DS11" s="358">
        <f>SUM(DN11:DR11)</f>
        <v>4371</v>
      </c>
      <c r="DT11" s="33"/>
      <c r="DU11" s="374">
        <v>296</v>
      </c>
      <c r="DV11" s="366">
        <f>4075+17</f>
        <v>4092</v>
      </c>
      <c r="DW11" s="366"/>
      <c r="DX11" s="366"/>
      <c r="DY11" s="366">
        <v>-17</v>
      </c>
      <c r="DZ11" s="358">
        <f>SUM(DU11:DY11)</f>
        <v>4371</v>
      </c>
      <c r="EA11" s="33"/>
      <c r="EB11" s="374">
        <v>174</v>
      </c>
      <c r="EC11" s="366">
        <v>2888</v>
      </c>
      <c r="ED11" s="366"/>
      <c r="EE11" s="366"/>
      <c r="EF11" s="366">
        <v>0</v>
      </c>
      <c r="EG11" s="358">
        <f>SUM(EB11:EF11)</f>
        <v>3062</v>
      </c>
      <c r="EH11" s="33"/>
      <c r="EI11" s="374">
        <v>138</v>
      </c>
      <c r="EJ11" s="366">
        <v>0</v>
      </c>
      <c r="EK11" s="366"/>
      <c r="EL11" s="366"/>
      <c r="EM11" s="366">
        <v>0</v>
      </c>
      <c r="EN11" s="358">
        <f>SUM(EI11:EM11)</f>
        <v>138</v>
      </c>
      <c r="EO11" s="33"/>
      <c r="EP11" s="374">
        <v>7424</v>
      </c>
      <c r="EQ11" s="366">
        <v>12918</v>
      </c>
      <c r="ER11" s="366"/>
      <c r="ES11" s="366"/>
      <c r="ET11" s="366">
        <v>-6877</v>
      </c>
      <c r="EU11" s="358">
        <f>SUM(EP11:ET11)</f>
        <v>13465</v>
      </c>
      <c r="EV11" s="33"/>
      <c r="EW11" s="374">
        <v>6852</v>
      </c>
      <c r="EX11" s="366">
        <v>11287</v>
      </c>
      <c r="EY11" s="366"/>
      <c r="EZ11" s="366"/>
      <c r="FA11" s="366">
        <v>-6877</v>
      </c>
      <c r="FB11" s="358">
        <f>SUM(EW11:FA11)</f>
        <v>11262</v>
      </c>
      <c r="FC11" s="33"/>
      <c r="FD11" s="374">
        <v>6826</v>
      </c>
      <c r="FE11" s="366">
        <v>7823</v>
      </c>
      <c r="FF11" s="366"/>
      <c r="FG11" s="366"/>
      <c r="FH11" s="366">
        <v>-6877</v>
      </c>
      <c r="FI11" s="358">
        <f>SUM(FD11:FH11)</f>
        <v>7772</v>
      </c>
      <c r="FJ11" s="33"/>
      <c r="FK11" s="374">
        <v>41</v>
      </c>
      <c r="FL11" s="366">
        <v>946</v>
      </c>
      <c r="FM11" s="366"/>
      <c r="FN11" s="366"/>
      <c r="FO11" s="366"/>
      <c r="FP11" s="358">
        <f>SUM(FK11:FO11)</f>
        <v>987</v>
      </c>
      <c r="FQ11" s="33"/>
      <c r="FR11" s="374">
        <v>152</v>
      </c>
      <c r="FS11" s="366">
        <v>5930</v>
      </c>
      <c r="FT11" s="366"/>
      <c r="FU11" s="366"/>
      <c r="FV11" s="366">
        <f>-63-7</f>
        <v>-70</v>
      </c>
      <c r="FW11" s="358">
        <f>SUM(FR11:FV11)</f>
        <v>6012</v>
      </c>
      <c r="FX11" s="33"/>
      <c r="FY11" s="374">
        <v>122</v>
      </c>
      <c r="FZ11" s="366">
        <v>5312</v>
      </c>
      <c r="GA11" s="366"/>
      <c r="GB11" s="366"/>
      <c r="GC11" s="366">
        <v>-7</v>
      </c>
      <c r="GD11" s="358">
        <f>SUM(FY11:GC11)</f>
        <v>5427</v>
      </c>
      <c r="GE11" s="33"/>
      <c r="GF11" s="374">
        <v>73</v>
      </c>
      <c r="GG11" s="366">
        <v>4010</v>
      </c>
      <c r="GH11" s="366"/>
      <c r="GI11" s="366"/>
      <c r="GJ11" s="366">
        <v>0</v>
      </c>
      <c r="GK11" s="358">
        <f>SUM(GF11:GJ11)</f>
        <v>4083</v>
      </c>
      <c r="GL11" s="33"/>
      <c r="GM11" s="374">
        <v>10</v>
      </c>
      <c r="GN11" s="366">
        <v>1836</v>
      </c>
      <c r="GO11" s="366"/>
      <c r="GP11" s="366"/>
      <c r="GQ11" s="366">
        <v>0</v>
      </c>
      <c r="GR11" s="358">
        <f>SUM(GM11:GQ11)</f>
        <v>1846</v>
      </c>
      <c r="GS11" s="33"/>
      <c r="GT11" s="374">
        <v>202</v>
      </c>
      <c r="GU11" s="366">
        <f>3+3883+468+1303</f>
        <v>5657</v>
      </c>
      <c r="GV11" s="366"/>
      <c r="GW11" s="366"/>
      <c r="GX11" s="366">
        <v>-3</v>
      </c>
      <c r="GY11" s="358">
        <f>SUM(GT11:GX11)</f>
        <v>5856</v>
      </c>
      <c r="GZ11" s="33"/>
      <c r="HA11" s="374">
        <f>157</f>
        <v>157</v>
      </c>
      <c r="HB11" s="388">
        <f>4+3883+468</f>
        <v>4355</v>
      </c>
      <c r="HC11" s="366"/>
      <c r="HD11" s="366"/>
      <c r="HE11" s="366"/>
      <c r="HF11" s="358">
        <f>SUM(HA11:HE11)</f>
        <v>4512</v>
      </c>
      <c r="HG11" s="33"/>
      <c r="HH11" s="357">
        <v>151</v>
      </c>
      <c r="HI11" s="366">
        <f>3+2984</f>
        <v>2987</v>
      </c>
      <c r="HJ11" s="366"/>
      <c r="HK11" s="366"/>
      <c r="HL11" s="366"/>
      <c r="HM11" s="358">
        <f>SUM(HH11:HL11)</f>
        <v>3138</v>
      </c>
      <c r="HN11" s="33"/>
      <c r="HO11" s="357">
        <f>ROUND(4248/1000,0)</f>
        <v>4</v>
      </c>
      <c r="HP11" s="366">
        <v>1542</v>
      </c>
      <c r="HQ11" s="366"/>
      <c r="HR11" s="366"/>
      <c r="HS11" s="366"/>
      <c r="HT11" s="358">
        <f>SUM(HO11:HS11)</f>
        <v>1546</v>
      </c>
      <c r="HU11" s="33"/>
      <c r="HV11" s="354">
        <v>371</v>
      </c>
      <c r="HW11" s="354">
        <v>32</v>
      </c>
      <c r="HX11" s="354">
        <f>58+41</f>
        <v>99</v>
      </c>
      <c r="HY11" s="354"/>
      <c r="HZ11" s="354">
        <f>-32+32</f>
        <v>0</v>
      </c>
      <c r="IA11" s="354">
        <f>SUM(HV11:HZ11)</f>
        <v>502</v>
      </c>
      <c r="IB11" s="33"/>
      <c r="IC11" s="354">
        <v>96</v>
      </c>
      <c r="ID11" s="354">
        <f>33+2852</f>
        <v>2885</v>
      </c>
      <c r="IE11" s="354">
        <v>39</v>
      </c>
      <c r="IF11" s="354"/>
      <c r="IG11" s="354">
        <v>-33</v>
      </c>
      <c r="IH11" s="354">
        <f>SUM(IC11:IG11)</f>
        <v>2987</v>
      </c>
      <c r="II11" s="127"/>
      <c r="IJ11" s="354">
        <v>33</v>
      </c>
      <c r="IK11" s="354">
        <f>7+1014+1105</f>
        <v>2126</v>
      </c>
      <c r="IL11" s="354">
        <v>14</v>
      </c>
      <c r="IM11" s="354"/>
      <c r="IN11" s="354">
        <v>-7</v>
      </c>
      <c r="IO11" s="354">
        <f>SUM(IJ11:IN11)</f>
        <v>2166</v>
      </c>
      <c r="IP11" s="127"/>
      <c r="IQ11" s="33">
        <v>15</v>
      </c>
      <c r="IR11" s="33">
        <v>1014</v>
      </c>
      <c r="IS11" s="33">
        <v>10</v>
      </c>
      <c r="IT11" s="33">
        <v>0</v>
      </c>
      <c r="IU11" s="33"/>
      <c r="IV11" s="33">
        <f>SUM(IQ11:IU11)</f>
        <v>1039</v>
      </c>
    </row>
    <row r="12" spans="1:256">
      <c r="A12" s="30"/>
      <c r="B12" s="30"/>
      <c r="C12" s="30"/>
      <c r="D12" s="30"/>
      <c r="E12" s="30"/>
      <c r="F12" s="357"/>
      <c r="G12" s="366"/>
      <c r="H12" s="366"/>
      <c r="I12" s="366"/>
      <c r="J12" s="366"/>
      <c r="K12" s="358"/>
      <c r="L12" s="33"/>
      <c r="M12" s="558"/>
      <c r="N12" s="477"/>
      <c r="O12" s="477"/>
      <c r="P12" s="477"/>
      <c r="Q12" s="477"/>
      <c r="R12" s="559"/>
      <c r="S12" s="366"/>
      <c r="T12" s="33">
        <f t="shared" si="0"/>
        <v>0</v>
      </c>
      <c r="U12" s="33">
        <f t="shared" si="1"/>
        <v>0</v>
      </c>
      <c r="V12" s="33">
        <f t="shared" si="2"/>
        <v>0</v>
      </c>
      <c r="W12" s="33">
        <f t="shared" si="3"/>
        <v>0</v>
      </c>
      <c r="X12" s="33">
        <f t="shared" si="4"/>
        <v>0</v>
      </c>
      <c r="Y12" s="33">
        <f t="shared" si="5"/>
        <v>0</v>
      </c>
      <c r="Z12" s="33"/>
      <c r="AA12" s="558"/>
      <c r="AB12" s="477"/>
      <c r="AC12" s="477"/>
      <c r="AD12" s="477"/>
      <c r="AE12" s="477"/>
      <c r="AF12" s="559"/>
      <c r="AG12" s="33"/>
      <c r="AH12" s="357"/>
      <c r="AI12" s="366"/>
      <c r="AJ12" s="366"/>
      <c r="AK12" s="366"/>
      <c r="AL12" s="366"/>
      <c r="AM12" s="358"/>
      <c r="AN12" s="33"/>
      <c r="AO12" s="357"/>
      <c r="AP12" s="366"/>
      <c r="AQ12" s="366"/>
      <c r="AR12" s="366"/>
      <c r="AS12" s="366"/>
      <c r="AT12" s="358"/>
      <c r="AU12" s="33"/>
      <c r="AV12" s="357"/>
      <c r="AW12" s="366"/>
      <c r="AX12" s="366"/>
      <c r="AY12" s="366"/>
      <c r="AZ12" s="366"/>
      <c r="BA12" s="358"/>
      <c r="BB12" s="33"/>
      <c r="BC12" s="357"/>
      <c r="BD12" s="366"/>
      <c r="BE12" s="366"/>
      <c r="BF12" s="366"/>
      <c r="BG12" s="366"/>
      <c r="BH12" s="358"/>
      <c r="BI12" s="33"/>
      <c r="BJ12" s="357"/>
      <c r="BK12" s="366"/>
      <c r="BL12" s="366"/>
      <c r="BM12" s="366"/>
      <c r="BN12" s="366"/>
      <c r="BO12" s="358"/>
      <c r="BP12" s="33"/>
      <c r="BQ12" s="357"/>
      <c r="BR12" s="366"/>
      <c r="BS12" s="366"/>
      <c r="BT12" s="366"/>
      <c r="BU12" s="366"/>
      <c r="BV12" s="358"/>
      <c r="BW12" s="33"/>
      <c r="BX12" s="357"/>
      <c r="BY12" s="366"/>
      <c r="BZ12" s="366"/>
      <c r="CA12" s="366"/>
      <c r="CB12" s="366"/>
      <c r="CC12" s="358"/>
      <c r="CD12" s="33"/>
      <c r="CE12" s="357"/>
      <c r="CF12" s="366"/>
      <c r="CG12" s="366"/>
      <c r="CH12" s="366"/>
      <c r="CI12" s="366"/>
      <c r="CJ12" s="358"/>
      <c r="CK12" s="33"/>
      <c r="CL12" s="357"/>
      <c r="CM12" s="366"/>
      <c r="CN12" s="366"/>
      <c r="CO12" s="366"/>
      <c r="CP12" s="366"/>
      <c r="CQ12" s="358"/>
      <c r="CR12" s="33"/>
      <c r="CS12" s="357"/>
      <c r="CT12" s="366"/>
      <c r="CU12" s="366"/>
      <c r="CV12" s="366"/>
      <c r="CW12" s="366"/>
      <c r="CX12" s="358"/>
      <c r="CY12" s="33"/>
      <c r="CZ12" s="357"/>
      <c r="DA12" s="366"/>
      <c r="DB12" s="366"/>
      <c r="DC12" s="366"/>
      <c r="DD12" s="366"/>
      <c r="DE12" s="358"/>
      <c r="DF12" s="33"/>
      <c r="DG12" s="357"/>
      <c r="DH12" s="366"/>
      <c r="DI12" s="366"/>
      <c r="DJ12" s="366"/>
      <c r="DK12" s="366"/>
      <c r="DL12" s="358"/>
      <c r="DM12" s="33"/>
      <c r="DN12" s="357"/>
      <c r="DO12" s="366"/>
      <c r="DP12" s="366"/>
      <c r="DQ12" s="366"/>
      <c r="DR12" s="366"/>
      <c r="DS12" s="358"/>
      <c r="DT12" s="33"/>
      <c r="DU12" s="357"/>
      <c r="DV12" s="366"/>
      <c r="DW12" s="366"/>
      <c r="DX12" s="366"/>
      <c r="DY12" s="366"/>
      <c r="DZ12" s="358"/>
      <c r="EA12" s="33"/>
      <c r="EB12" s="357"/>
      <c r="EC12" s="366"/>
      <c r="ED12" s="366"/>
      <c r="EE12" s="366"/>
      <c r="EF12" s="366"/>
      <c r="EG12" s="358"/>
      <c r="EH12" s="33"/>
      <c r="EI12" s="357"/>
      <c r="EJ12" s="366"/>
      <c r="EK12" s="366"/>
      <c r="EL12" s="366"/>
      <c r="EM12" s="366"/>
      <c r="EN12" s="358"/>
      <c r="EO12" s="33"/>
      <c r="EP12" s="357"/>
      <c r="EQ12" s="366"/>
      <c r="ER12" s="366"/>
      <c r="ES12" s="366"/>
      <c r="ET12" s="366"/>
      <c r="EU12" s="358"/>
      <c r="EV12" s="33"/>
      <c r="EW12" s="357"/>
      <c r="EX12" s="366"/>
      <c r="EY12" s="366"/>
      <c r="EZ12" s="366"/>
      <c r="FA12" s="366"/>
      <c r="FB12" s="358"/>
      <c r="FC12" s="33"/>
      <c r="FD12" s="357"/>
      <c r="FE12" s="366"/>
      <c r="FF12" s="366"/>
      <c r="FG12" s="366"/>
      <c r="FH12" s="366"/>
      <c r="FI12" s="358"/>
      <c r="FJ12" s="33"/>
      <c r="FK12" s="357"/>
      <c r="FL12" s="366"/>
      <c r="FM12" s="366"/>
      <c r="FN12" s="366"/>
      <c r="FO12" s="366"/>
      <c r="FP12" s="358"/>
      <c r="FQ12" s="33"/>
      <c r="FR12" s="357"/>
      <c r="FS12" s="366"/>
      <c r="FT12" s="366"/>
      <c r="FU12" s="366"/>
      <c r="FV12" s="366"/>
      <c r="FW12" s="358"/>
      <c r="FX12" s="33"/>
      <c r="FY12" s="357"/>
      <c r="FZ12" s="366"/>
      <c r="GA12" s="366"/>
      <c r="GB12" s="366"/>
      <c r="GC12" s="366"/>
      <c r="GD12" s="358"/>
      <c r="GE12" s="33"/>
      <c r="GF12" s="357"/>
      <c r="GG12" s="366"/>
      <c r="GH12" s="366"/>
      <c r="GI12" s="366"/>
      <c r="GJ12" s="366"/>
      <c r="GK12" s="358"/>
      <c r="GL12" s="33"/>
      <c r="GM12" s="357"/>
      <c r="GN12" s="366"/>
      <c r="GO12" s="366"/>
      <c r="GP12" s="366"/>
      <c r="GQ12" s="366"/>
      <c r="GR12" s="358"/>
      <c r="GS12" s="33"/>
      <c r="GT12" s="357"/>
      <c r="GU12" s="366"/>
      <c r="GV12" s="366"/>
      <c r="GW12" s="366"/>
      <c r="GX12" s="366"/>
      <c r="GY12" s="358"/>
      <c r="GZ12" s="33"/>
      <c r="HA12" s="357"/>
      <c r="HB12" s="366"/>
      <c r="HC12" s="366"/>
      <c r="HD12" s="366"/>
      <c r="HE12" s="366"/>
      <c r="HF12" s="358"/>
      <c r="HG12" s="33"/>
      <c r="HH12" s="357"/>
      <c r="HI12" s="366"/>
      <c r="HJ12" s="366"/>
      <c r="HK12" s="366"/>
      <c r="HL12" s="366"/>
      <c r="HM12" s="358"/>
      <c r="HN12" s="33"/>
      <c r="HO12" s="357"/>
      <c r="HP12" s="366"/>
      <c r="HQ12" s="366"/>
      <c r="HR12" s="366"/>
      <c r="HS12" s="366"/>
      <c r="HT12" s="358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127"/>
      <c r="IJ12" s="33"/>
      <c r="IK12" s="33"/>
      <c r="IL12" s="33"/>
      <c r="IM12" s="33"/>
      <c r="IN12" s="33"/>
      <c r="IO12" s="33"/>
      <c r="IP12" s="127"/>
      <c r="IQ12" s="33"/>
      <c r="IR12" s="33"/>
      <c r="IS12" s="33"/>
      <c r="IT12" s="33"/>
      <c r="IU12" s="33"/>
      <c r="IV12" s="33"/>
    </row>
    <row r="13" spans="1:256">
      <c r="A13" s="106" t="s">
        <v>339</v>
      </c>
      <c r="B13" s="106"/>
      <c r="C13" s="106"/>
      <c r="D13" s="106"/>
      <c r="E13" s="174"/>
      <c r="F13" s="357">
        <f>-56125-8037-6340-713-2054+77-3-30</f>
        <v>-73225</v>
      </c>
      <c r="G13" s="366">
        <f>-30579-2966-1331-368-527+16+78</f>
        <v>-35677</v>
      </c>
      <c r="H13" s="441"/>
      <c r="I13" s="366"/>
      <c r="J13" s="366">
        <f>34707+51*3</f>
        <v>34860</v>
      </c>
      <c r="K13" s="358">
        <f>SUM(F13:J13)</f>
        <v>-74042</v>
      </c>
      <c r="L13" s="33"/>
      <c r="M13" s="558"/>
      <c r="N13" s="477"/>
      <c r="O13" s="560"/>
      <c r="P13" s="477"/>
      <c r="Q13" s="477"/>
      <c r="R13" s="559">
        <f>SUM(M13:Q13)</f>
        <v>0</v>
      </c>
      <c r="S13" s="366"/>
      <c r="T13" s="33">
        <f t="shared" si="0"/>
        <v>-73225</v>
      </c>
      <c r="U13" s="33">
        <f t="shared" si="1"/>
        <v>-35677</v>
      </c>
      <c r="V13" s="33">
        <f t="shared" si="2"/>
        <v>0</v>
      </c>
      <c r="W13" s="33">
        <f t="shared" si="3"/>
        <v>0</v>
      </c>
      <c r="X13" s="33">
        <f t="shared" si="4"/>
        <v>34860</v>
      </c>
      <c r="Y13" s="33">
        <f t="shared" si="5"/>
        <v>-74042</v>
      </c>
      <c r="Z13" s="33"/>
      <c r="AA13" s="558">
        <v>-281110</v>
      </c>
      <c r="AB13" s="477">
        <v>-116093</v>
      </c>
      <c r="AC13" s="560"/>
      <c r="AD13" s="477"/>
      <c r="AE13" s="477">
        <f>107316+25+51*12</f>
        <v>107953</v>
      </c>
      <c r="AF13" s="559">
        <f>SUM(AA13:AE13)</f>
        <v>-289250</v>
      </c>
      <c r="AG13" s="33"/>
      <c r="AH13" s="357">
        <f>-155130+1488-3516-23984-19448-2412-5134+210+152-8</f>
        <v>-207782</v>
      </c>
      <c r="AI13" s="366">
        <f>-46637+233-22295-7194-3690-939-1345+46-72</f>
        <v>-81893</v>
      </c>
      <c r="AJ13" s="441"/>
      <c r="AK13" s="366"/>
      <c r="AL13" s="366">
        <f>77478+25+51*9</f>
        <v>77962</v>
      </c>
      <c r="AM13" s="358">
        <f>SUM(AH13:AL13)</f>
        <v>-211713</v>
      </c>
      <c r="AN13" s="33"/>
      <c r="AO13" s="357">
        <f>-103474-15904-13194-1193-3430+139+155-0</f>
        <v>-136901</v>
      </c>
      <c r="AP13" s="366">
        <f>-46975-4774-2455-743-934+35-90-0</f>
        <v>-55936</v>
      </c>
      <c r="AQ13" s="441"/>
      <c r="AR13" s="366"/>
      <c r="AS13" s="366">
        <f>50038+11+51*6</f>
        <v>50355</v>
      </c>
      <c r="AT13" s="358">
        <f>SUM(AO13:AS13)</f>
        <v>-142482</v>
      </c>
      <c r="AU13" s="33"/>
      <c r="AV13" s="357">
        <f>-53084-7895-6507-591-1734+65-36-0</f>
        <v>-69782</v>
      </c>
      <c r="AW13" s="366">
        <f>-24219-2369-1202-631-561+19+82-0</f>
        <v>-28881</v>
      </c>
      <c r="AX13" s="441"/>
      <c r="AY13" s="366"/>
      <c r="AZ13" s="366">
        <f>26072+11+51*3</f>
        <v>26236</v>
      </c>
      <c r="BA13" s="358">
        <f>SUM(AV13:AZ13)</f>
        <v>-72427</v>
      </c>
      <c r="BB13" s="33"/>
      <c r="BC13" s="357">
        <f>-169418-6522-28528-25778-46-6953+285-313-7</f>
        <v>-237280</v>
      </c>
      <c r="BD13" s="366">
        <f>-50360-24800-8408-4737-1353-1664+67-1083-0</f>
        <v>-92338</v>
      </c>
      <c r="BE13" s="441">
        <v>-5</v>
      </c>
      <c r="BF13" s="366"/>
      <c r="BG13" s="366">
        <f>81372+27+51*12</f>
        <v>82011</v>
      </c>
      <c r="BH13" s="358">
        <f>SUM(BC13:BG13)</f>
        <v>-247612</v>
      </c>
      <c r="BI13" s="33"/>
      <c r="BJ13" s="357">
        <f>-117584-4868-20886-19325+786-5284+220-110-7</f>
        <v>-167058</v>
      </c>
      <c r="BK13" s="366">
        <f>-35017-16953-5951-3493-901-1253+44-558-0</f>
        <v>-64082</v>
      </c>
      <c r="BL13" s="441">
        <v>0</v>
      </c>
      <c r="BM13" s="366"/>
      <c r="BN13" s="366">
        <f>56289+25+51*9</f>
        <v>56773</v>
      </c>
      <c r="BO13" s="358">
        <f>SUM(BJ13:BN13)</f>
        <v>-174367</v>
      </c>
      <c r="BP13" s="33"/>
      <c r="BQ13" s="357">
        <f>-70802-3350-13623-13051+789-3503+158-50-7</f>
        <v>-103439</v>
      </c>
      <c r="BR13" s="366">
        <f>-23030-10738-3776-2214-486-835+25-459-0</f>
        <v>-41513</v>
      </c>
      <c r="BS13" s="441">
        <v>1</v>
      </c>
      <c r="BT13" s="366"/>
      <c r="BU13" s="366">
        <f>34782+20+51*6</f>
        <v>35108</v>
      </c>
      <c r="BV13" s="358">
        <f>SUM(BQ13:BU13)</f>
        <v>-109843</v>
      </c>
      <c r="BW13" s="33"/>
      <c r="BX13" s="357">
        <f>-33904-6867-6723+540-1698+64+20-0</f>
        <v>-48568</v>
      </c>
      <c r="BY13" s="366">
        <f>-18508-1968-1153-126-444+10-268-0</f>
        <v>-22457</v>
      </c>
      <c r="BZ13" s="366">
        <v>-1</v>
      </c>
      <c r="CA13" s="366"/>
      <c r="CB13" s="366">
        <f>19523+15+51*3</f>
        <v>19691</v>
      </c>
      <c r="CC13" s="358">
        <f>SUM(BX13:CB13)</f>
        <v>-51335</v>
      </c>
      <c r="CD13" s="33"/>
      <c r="CE13" s="357">
        <f>-214930-1711+6-4796-23853-25106-11012-7055+184-2766-39-153</f>
        <v>-291231</v>
      </c>
      <c r="CF13" s="366">
        <f>-70776-28211-10628-4412-3578-1755+58+763</f>
        <v>-118539</v>
      </c>
      <c r="CG13" s="366">
        <v>1</v>
      </c>
      <c r="CH13" s="366">
        <v>361</v>
      </c>
      <c r="CI13" s="366">
        <f>102371+4+51*12</f>
        <v>102987</v>
      </c>
      <c r="CJ13" s="358">
        <f>SUM(CE13:CI13)</f>
        <v>-306421</v>
      </c>
      <c r="CK13" s="33"/>
      <c r="CL13" s="357">
        <f>-189985-1538-19413-19308-6039-5138+146-2868-39</f>
        <v>-244182</v>
      </c>
      <c r="CM13" s="366">
        <f>-59201-21885-8800-3302-2729-1332+40+52-0</f>
        <v>-97157</v>
      </c>
      <c r="CN13" s="366">
        <v>156</v>
      </c>
      <c r="CO13" s="366">
        <v>361</v>
      </c>
      <c r="CP13" s="366">
        <f>87194+51*9</f>
        <v>87653</v>
      </c>
      <c r="CQ13" s="358">
        <f>SUM(CL13:CP13)</f>
        <v>-253169</v>
      </c>
      <c r="CR13" s="33"/>
      <c r="CS13" s="357">
        <f>-141743-13713-13115-3208-3766+109-2616-39</f>
        <v>-178091</v>
      </c>
      <c r="CT13" s="366">
        <f>-56705-6035-2131-1140-917+31+386-0</f>
        <v>-66511</v>
      </c>
      <c r="CU13" s="366"/>
      <c r="CV13" s="366">
        <v>361</v>
      </c>
      <c r="CW13" s="366">
        <f>62287+51*6</f>
        <v>62593</v>
      </c>
      <c r="CX13" s="358">
        <f>SUM(CS13:CW13)</f>
        <v>-181648</v>
      </c>
      <c r="CY13" s="33"/>
      <c r="CZ13" s="357">
        <f>-71623-1149-6575-6340-1631-1857+61-1339-30</f>
        <v>-90483</v>
      </c>
      <c r="DA13" s="366">
        <f>-22796-9438-3036-1152-719-483+16+284-0</f>
        <v>-37324</v>
      </c>
      <c r="DB13" s="366"/>
      <c r="DC13" s="366">
        <v>361</v>
      </c>
      <c r="DD13" s="366">
        <f>32130+51*3</f>
        <v>32283</v>
      </c>
      <c r="DE13" s="358">
        <f>SUM(CZ13:DD13)</f>
        <v>-95163</v>
      </c>
      <c r="DF13" s="33"/>
      <c r="DG13" s="357">
        <f>-279903-66610-42503-11899-28155-7168-3889-1434-8310-2235+244+54+362-60-(223-0)+2</f>
        <v>-451727</v>
      </c>
      <c r="DH13" s="366">
        <f>-76692-22251-44415-14462-4280-1365-1378+107-947-234+65+12+491+231-4075-0</f>
        <v>-169193</v>
      </c>
      <c r="DI13" s="366"/>
      <c r="DJ13" s="366">
        <v>-361</v>
      </c>
      <c r="DK13" s="366">
        <f>116190+31395+17+6+51*3</f>
        <v>147761</v>
      </c>
      <c r="DL13" s="358">
        <f>SUM(DG13:DK13)</f>
        <v>-473520</v>
      </c>
      <c r="DM13" s="33"/>
      <c r="DN13" s="357">
        <f>-279903-42503-28155-3889-8310+244+362-(223)</f>
        <v>-362377</v>
      </c>
      <c r="DO13" s="366">
        <f>-76692-44415-4280-1378-947+65+491-4075</f>
        <v>-131231</v>
      </c>
      <c r="DP13" s="366"/>
      <c r="DQ13" s="366"/>
      <c r="DR13" s="366">
        <f>116190+17+51*3</f>
        <v>116360</v>
      </c>
      <c r="DS13" s="358">
        <f>SUM(DN13:DR13)</f>
        <v>-377248</v>
      </c>
      <c r="DT13" s="33"/>
      <c r="DU13" s="357">
        <f>-216822-32111-21218-2738-6374+192+420-(223)</f>
        <v>-278874</v>
      </c>
      <c r="DV13" s="366">
        <f>-61121-33824-3195-1019-794+48+402-4075</f>
        <v>-103578</v>
      </c>
      <c r="DW13" s="366"/>
      <c r="DX13" s="366"/>
      <c r="DY13" s="366">
        <f>87542+17+51*3</f>
        <v>87712</v>
      </c>
      <c r="DZ13" s="358">
        <f>SUM(DU13:DY13)</f>
        <v>-294740</v>
      </c>
      <c r="EA13" s="33"/>
      <c r="EB13" s="357">
        <f>-144962-11431-13902-14299-1506-4190+114+237-(101)</f>
        <v>-190040</v>
      </c>
      <c r="EC13" s="366">
        <f>-43688-2628-16508+514-5347-2080-696-581+34+244-2888</f>
        <v>-73624</v>
      </c>
      <c r="ED13" s="366"/>
      <c r="EE13" s="366"/>
      <c r="EF13" s="366">
        <f>60535+51*3</f>
        <v>60688</v>
      </c>
      <c r="EG13" s="358">
        <f>SUM(EB13:EF13)</f>
        <v>-202976</v>
      </c>
      <c r="EH13" s="33"/>
      <c r="EI13" s="357">
        <f>-70069-2247-2678-6907-7018-1032-2137+44+125-(70)</f>
        <v>-91989</v>
      </c>
      <c r="EJ13" s="366">
        <f>-30391-2620-1034-425-352+13+92-0</f>
        <v>-34717</v>
      </c>
      <c r="EK13" s="366"/>
      <c r="EL13" s="366"/>
      <c r="EM13" s="366">
        <f>30790+51*3</f>
        <v>30943</v>
      </c>
      <c r="EN13" s="358">
        <f>SUM(EI13:EM13)</f>
        <v>-95763</v>
      </c>
      <c r="EO13" s="33"/>
      <c r="EP13" s="357">
        <f>-264338-26678-28520-4836-8953+192+129-(6732)</f>
        <v>-339736</v>
      </c>
      <c r="EQ13" s="366">
        <f>-106244-9820-4206-2085-1362+91+339-12870+1</f>
        <v>-136156</v>
      </c>
      <c r="ER13" s="366"/>
      <c r="ES13" s="366"/>
      <c r="ET13" s="366">
        <f>111994+51*12+6877</f>
        <v>119483</v>
      </c>
      <c r="EU13" s="358">
        <f>SUM(EP13:ET13)</f>
        <v>-356409</v>
      </c>
      <c r="EV13" s="33"/>
      <c r="EW13" s="357">
        <f>-200549-20089-21239-3223-7090+148+228-(6155)-1</f>
        <v>-257970</v>
      </c>
      <c r="EX13" s="366">
        <f>-83325-7495-3136-1983-1033+70+310-11239</f>
        <v>-107831</v>
      </c>
      <c r="EY13" s="366"/>
      <c r="EZ13" s="366"/>
      <c r="FA13" s="366">
        <f>87271+51*9+6877</f>
        <v>94607</v>
      </c>
      <c r="FB13" s="358">
        <f>SUM(EW13:FA13)</f>
        <v>-271194</v>
      </c>
      <c r="FC13" s="33"/>
      <c r="FD13" s="357">
        <f>-135486-13341-14464-1893-4995+94+268-(6386)</f>
        <v>-176203</v>
      </c>
      <c r="FE13" s="366">
        <f>-64169-5641-2198-1155-681+45+159-7775</f>
        <v>-81415</v>
      </c>
      <c r="FF13" s="366"/>
      <c r="FG13" s="366"/>
      <c r="FH13" s="366">
        <f>67087+51*6+6877</f>
        <v>74270</v>
      </c>
      <c r="FI13" s="358">
        <f>SUM(FD13:FH13)</f>
        <v>-183348</v>
      </c>
      <c r="FJ13" s="33"/>
      <c r="FK13" s="357">
        <f>-62066-6666-7339-743-2337+43+140-(-164)</f>
        <v>-78804</v>
      </c>
      <c r="FL13" s="366">
        <f>-30960-2833-1040-751-332+20+20-898</f>
        <v>-36774</v>
      </c>
      <c r="FM13" s="366"/>
      <c r="FN13" s="366"/>
      <c r="FO13" s="366">
        <f>34248+51*3</f>
        <v>34401</v>
      </c>
      <c r="FP13" s="358">
        <f>SUM(FK13:FO13)</f>
        <v>-81177</v>
      </c>
      <c r="FQ13" s="33"/>
      <c r="FR13" s="357">
        <f>-208803-25495-28479-7190-9647+225+562-399</f>
        <v>-279226</v>
      </c>
      <c r="FS13" s="366">
        <f>-94737-8998-4444-1442-1241+116+131-5926</f>
        <v>-116541</v>
      </c>
      <c r="FT13" s="366"/>
      <c r="FU13" s="366"/>
      <c r="FV13" s="366">
        <f>98348+51*12+63+7</f>
        <v>99030</v>
      </c>
      <c r="FW13" s="358">
        <f>SUM(FR13:FV13)</f>
        <v>-296737</v>
      </c>
      <c r="FX13" s="33"/>
      <c r="FY13" s="357">
        <f>-159412-19343-21376-5865-7502+176+191-175</f>
        <v>-213306</v>
      </c>
      <c r="FZ13" s="366">
        <f>-74710-6922-3370-1113-976+88+47-5305</f>
        <v>-92261</v>
      </c>
      <c r="GA13" s="366"/>
      <c r="GB13" s="366"/>
      <c r="GC13" s="366">
        <f>75747+51*9+7</f>
        <v>76213</v>
      </c>
      <c r="GD13" s="358">
        <f>SUM(FY13:GC13)</f>
        <v>-229354</v>
      </c>
      <c r="GE13" s="33"/>
      <c r="GF13" s="357">
        <f>-108712-13178-14868-4069-5365+120+14-126</f>
        <v>-146184</v>
      </c>
      <c r="GG13" s="366">
        <f>-56793-5012-2349-833-667+53-7-4010</f>
        <v>-69618</v>
      </c>
      <c r="GH13" s="366"/>
      <c r="GI13" s="366"/>
      <c r="GJ13" s="366">
        <f>57069+51*6</f>
        <v>57375</v>
      </c>
      <c r="GK13" s="358">
        <f>SUM(GF13:GJ13)</f>
        <v>-158427</v>
      </c>
      <c r="GL13" s="33"/>
      <c r="GM13" s="357">
        <f>-52576-6667-7654-2010-2703+50+16-150</f>
        <v>-71694</v>
      </c>
      <c r="GN13" s="366">
        <f>-27076-2500-1125-385-371+28+0+4-1836</f>
        <v>-33261</v>
      </c>
      <c r="GO13" s="366"/>
      <c r="GP13" s="366"/>
      <c r="GQ13" s="366">
        <f>27247+51*3</f>
        <v>27400</v>
      </c>
      <c r="GR13" s="358">
        <f>SUM(GM13:GQ13)</f>
        <v>-77555</v>
      </c>
      <c r="GS13" s="33"/>
      <c r="GT13" s="357">
        <f>-177812-24480-29030-7279-9851+287+216+309</f>
        <v>-247640</v>
      </c>
      <c r="GU13" s="366">
        <f>-77682-9315-3838-1574-1514+102+73-3883-468-1303</f>
        <v>-99402</v>
      </c>
      <c r="GV13" s="366"/>
      <c r="GW13" s="366"/>
      <c r="GX13" s="366">
        <f>87487+3+612</f>
        <v>88102</v>
      </c>
      <c r="GY13" s="358">
        <f>SUM(GT13:GX13)</f>
        <v>-258940</v>
      </c>
      <c r="GZ13" s="33"/>
      <c r="HA13" s="357">
        <f>-133274-18454-21836-5539-7424+224+157+361</f>
        <v>-185785</v>
      </c>
      <c r="HB13" s="388">
        <f>-59381-7306-2798-1436-1163+79+71-3883-468</f>
        <v>-76285</v>
      </c>
      <c r="HC13" s="366"/>
      <c r="HD13" s="366"/>
      <c r="HE13" s="366">
        <f>65131+459</f>
        <v>65590</v>
      </c>
      <c r="HF13" s="358">
        <f>SUM(HA13:HE13)</f>
        <v>-196480</v>
      </c>
      <c r="HG13" s="33"/>
      <c r="HH13" s="357">
        <f>-88859-12365-14652-4291-4693+159+99-285</f>
        <v>-124887</v>
      </c>
      <c r="HI13" s="366">
        <f>-42736-5394-1892-1002-828+58+40-2984</f>
        <v>-54738</v>
      </c>
      <c r="HJ13" s="366"/>
      <c r="HK13" s="366"/>
      <c r="HL13" s="366">
        <f>46023+306</f>
        <v>46329</v>
      </c>
      <c r="HM13" s="358">
        <f>SUM(HH13:HL13)</f>
        <v>-133296</v>
      </c>
      <c r="HN13" s="33"/>
      <c r="HO13" s="357">
        <f>ROUND(((-61377379+70002.28+52213.49-244052)/1000),0)</f>
        <v>-61499</v>
      </c>
      <c r="HP13" s="366">
        <f>-20100-2744-924-532-400+30+4-1542</f>
        <v>-26208</v>
      </c>
      <c r="HQ13" s="366"/>
      <c r="HR13" s="366"/>
      <c r="HS13" s="366">
        <f>21782+153</f>
        <v>21935</v>
      </c>
      <c r="HT13" s="358">
        <f>SUM(HO13:HS13)</f>
        <v>-65772</v>
      </c>
      <c r="HU13" s="33"/>
      <c r="HV13" s="33">
        <f>-136967-24444-27512-5665-9971-70+206-8+305-422-150</f>
        <v>-204698</v>
      </c>
      <c r="HW13" s="33">
        <f>-52105-7827-3312-1406-1411+20+105+20</f>
        <v>-65916</v>
      </c>
      <c r="HX13" s="33">
        <f>-28778-9225-6675-1525-1657+205+170+16+58-13-63-60+18</f>
        <v>-47529</v>
      </c>
      <c r="HY13" s="33">
        <v>-1</v>
      </c>
      <c r="HZ13" s="359">
        <f>55755+1198</f>
        <v>56953</v>
      </c>
      <c r="IA13" s="33">
        <f>SUM(HV13:HZ13)</f>
        <v>-261191</v>
      </c>
      <c r="IB13" s="33"/>
      <c r="IC13" s="33">
        <f>-(102833+18887+20425+4752+7379+11169+2-242-106-10817)</f>
        <v>-154282</v>
      </c>
      <c r="ID13" s="33">
        <f>-39871-5877-2389-996-1033+11-130+87-2852</f>
        <v>-53050</v>
      </c>
      <c r="IE13" s="33">
        <f>-21895-7121-5090-603-1299+141-46+46-13</f>
        <v>-35880</v>
      </c>
      <c r="IF13" s="33">
        <v>-1</v>
      </c>
      <c r="IG13" s="359">
        <f>41881+33+918</f>
        <v>42832</v>
      </c>
      <c r="IH13" s="33">
        <f>SUM(IC13:IG13)</f>
        <v>-200381</v>
      </c>
      <c r="II13" s="127"/>
      <c r="IJ13" s="33">
        <v>-103619</v>
      </c>
      <c r="IK13" s="33">
        <f>-38725-1014-1105</f>
        <v>-40844</v>
      </c>
      <c r="IL13" s="33">
        <v>-23118</v>
      </c>
      <c r="IM13" s="33">
        <v>-1</v>
      </c>
      <c r="IN13" s="359">
        <v>32876</v>
      </c>
      <c r="IO13" s="33">
        <f>SUM(IJ13:IN13)</f>
        <v>-134706</v>
      </c>
      <c r="IP13" s="127"/>
      <c r="IQ13" s="33">
        <v>-50157</v>
      </c>
      <c r="IR13" s="33">
        <f>-18777-1014</f>
        <v>-19791</v>
      </c>
      <c r="IS13" s="33">
        <v>-11659</v>
      </c>
      <c r="IT13" s="33">
        <v>26</v>
      </c>
      <c r="IU13" s="33">
        <v>16329</v>
      </c>
      <c r="IV13" s="33">
        <f>SUM(IQ13:IU13)</f>
        <v>-65252</v>
      </c>
    </row>
    <row r="14" spans="1:256">
      <c r="A14" s="106" t="s">
        <v>519</v>
      </c>
      <c r="B14" s="106"/>
      <c r="C14" s="106"/>
      <c r="D14" s="106"/>
      <c r="E14" s="174"/>
      <c r="F14" s="357"/>
      <c r="G14" s="366"/>
      <c r="H14" s="366"/>
      <c r="I14" s="366"/>
      <c r="J14" s="366"/>
      <c r="K14" s="358">
        <f>SUM(F14:J14)</f>
        <v>0</v>
      </c>
      <c r="L14" s="33"/>
      <c r="M14" s="558"/>
      <c r="N14" s="477"/>
      <c r="O14" s="477"/>
      <c r="P14" s="477"/>
      <c r="Q14" s="477"/>
      <c r="R14" s="559">
        <f>SUM(M14:Q14)</f>
        <v>0</v>
      </c>
      <c r="S14" s="366"/>
      <c r="T14" s="33">
        <f t="shared" si="0"/>
        <v>0</v>
      </c>
      <c r="U14" s="33">
        <f t="shared" si="1"/>
        <v>0</v>
      </c>
      <c r="V14" s="33">
        <f t="shared" si="2"/>
        <v>0</v>
      </c>
      <c r="W14" s="33">
        <f t="shared" si="3"/>
        <v>0</v>
      </c>
      <c r="X14" s="33">
        <f t="shared" si="4"/>
        <v>0</v>
      </c>
      <c r="Y14" s="33">
        <f t="shared" si="5"/>
        <v>0</v>
      </c>
      <c r="Z14" s="33"/>
      <c r="AA14" s="558"/>
      <c r="AB14" s="477"/>
      <c r="AC14" s="477"/>
      <c r="AD14" s="477"/>
      <c r="AE14" s="477"/>
      <c r="AF14" s="559">
        <f>SUM(AA14:AE14)</f>
        <v>0</v>
      </c>
      <c r="AG14" s="33"/>
      <c r="AH14" s="357"/>
      <c r="AI14" s="366"/>
      <c r="AJ14" s="366"/>
      <c r="AK14" s="366"/>
      <c r="AL14" s="366"/>
      <c r="AM14" s="358">
        <f>SUM(AH14:AL14)</f>
        <v>0</v>
      </c>
      <c r="AN14" s="33"/>
      <c r="AO14" s="357"/>
      <c r="AP14" s="366"/>
      <c r="AQ14" s="366"/>
      <c r="AR14" s="366"/>
      <c r="AS14" s="366"/>
      <c r="AT14" s="358">
        <f>SUM(AO14:AS14)</f>
        <v>0</v>
      </c>
      <c r="AU14" s="33"/>
      <c r="AV14" s="357"/>
      <c r="AW14" s="366"/>
      <c r="AX14" s="366"/>
      <c r="AY14" s="366"/>
      <c r="AZ14" s="366"/>
      <c r="BA14" s="358">
        <f>SUM(AV14:AZ14)</f>
        <v>0</v>
      </c>
      <c r="BB14" s="33"/>
      <c r="BC14" s="357"/>
      <c r="BD14" s="366"/>
      <c r="BE14" s="366"/>
      <c r="BF14" s="366"/>
      <c r="BG14" s="366"/>
      <c r="BH14" s="358">
        <f>SUM(BC14:BG14)</f>
        <v>0</v>
      </c>
      <c r="BI14" s="33"/>
      <c r="BJ14" s="357"/>
      <c r="BK14" s="366"/>
      <c r="BL14" s="366"/>
      <c r="BM14" s="366"/>
      <c r="BN14" s="366"/>
      <c r="BO14" s="358">
        <f>SUM(BJ14:BN14)</f>
        <v>0</v>
      </c>
      <c r="BP14" s="33"/>
      <c r="BQ14" s="357"/>
      <c r="BR14" s="366"/>
      <c r="BS14" s="366"/>
      <c r="BT14" s="366"/>
      <c r="BU14" s="366"/>
      <c r="BV14" s="358">
        <f>SUM(BQ14:BU14)</f>
        <v>0</v>
      </c>
      <c r="BW14" s="33"/>
      <c r="BX14" s="357"/>
      <c r="BY14" s="366"/>
      <c r="BZ14" s="366"/>
      <c r="CA14" s="366"/>
      <c r="CB14" s="366"/>
      <c r="CC14" s="358">
        <f>SUM(BX14:CB14)</f>
        <v>0</v>
      </c>
      <c r="CD14" s="33"/>
      <c r="CE14" s="357"/>
      <c r="CF14" s="366"/>
      <c r="CG14" s="366"/>
      <c r="CH14" s="366"/>
      <c r="CI14" s="366"/>
      <c r="CJ14" s="358">
        <f>SUM(CE14:CI14)</f>
        <v>0</v>
      </c>
      <c r="CK14" s="33"/>
      <c r="CL14" s="357"/>
      <c r="CM14" s="366"/>
      <c r="CN14" s="366"/>
      <c r="CO14" s="366"/>
      <c r="CP14" s="366"/>
      <c r="CQ14" s="358">
        <f>SUM(CL14:CP14)</f>
        <v>0</v>
      </c>
      <c r="CR14" s="33"/>
      <c r="CS14" s="357"/>
      <c r="CT14" s="366"/>
      <c r="CU14" s="366"/>
      <c r="CV14" s="366"/>
      <c r="CW14" s="366"/>
      <c r="CX14" s="358">
        <f>SUM(CS14:CW14)</f>
        <v>0</v>
      </c>
      <c r="CY14" s="33"/>
      <c r="CZ14" s="357"/>
      <c r="DA14" s="366"/>
      <c r="DB14" s="366"/>
      <c r="DC14" s="366"/>
      <c r="DD14" s="366"/>
      <c r="DE14" s="358">
        <f>SUM(CZ14:DD14)</f>
        <v>0</v>
      </c>
      <c r="DF14" s="33"/>
      <c r="DG14" s="357"/>
      <c r="DH14" s="366"/>
      <c r="DI14" s="366"/>
      <c r="DJ14" s="366"/>
      <c r="DK14" s="366"/>
      <c r="DL14" s="358">
        <f>SUM(DG14:DK14)</f>
        <v>0</v>
      </c>
      <c r="DM14" s="33"/>
      <c r="DN14" s="357"/>
      <c r="DO14" s="366"/>
      <c r="DP14" s="366"/>
      <c r="DQ14" s="366"/>
      <c r="DR14" s="366"/>
      <c r="DS14" s="358">
        <f>SUM(DN14:DR14)</f>
        <v>0</v>
      </c>
      <c r="DT14" s="33"/>
      <c r="DU14" s="357"/>
      <c r="DV14" s="366"/>
      <c r="DW14" s="366"/>
      <c r="DX14" s="366"/>
      <c r="DY14" s="366"/>
      <c r="DZ14" s="358">
        <f>SUM(DU14:DY14)</f>
        <v>0</v>
      </c>
      <c r="EA14" s="33"/>
      <c r="EB14" s="357"/>
      <c r="EC14" s="366"/>
      <c r="ED14" s="366"/>
      <c r="EE14" s="366"/>
      <c r="EF14" s="366"/>
      <c r="EG14" s="358">
        <f>SUM(EB14:EF14)</f>
        <v>0</v>
      </c>
      <c r="EH14" s="33"/>
      <c r="EI14" s="357"/>
      <c r="EJ14" s="366"/>
      <c r="EK14" s="366"/>
      <c r="EL14" s="366"/>
      <c r="EM14" s="366"/>
      <c r="EN14" s="358">
        <f>SUM(EI14:EM14)</f>
        <v>0</v>
      </c>
      <c r="EO14" s="33"/>
      <c r="EP14" s="357"/>
      <c r="EQ14" s="366"/>
      <c r="ER14" s="366"/>
      <c r="ES14" s="366"/>
      <c r="ET14" s="366"/>
      <c r="EU14" s="358">
        <f>SUM(EP14:ET14)</f>
        <v>0</v>
      </c>
      <c r="EV14" s="33"/>
      <c r="EW14" s="357"/>
      <c r="EX14" s="366"/>
      <c r="EY14" s="366"/>
      <c r="EZ14" s="366"/>
      <c r="FA14" s="366"/>
      <c r="FB14" s="358">
        <f>SUM(EW14:FA14)</f>
        <v>0</v>
      </c>
      <c r="FC14" s="33"/>
      <c r="FD14" s="357"/>
      <c r="FE14" s="366"/>
      <c r="FF14" s="366"/>
      <c r="FG14" s="366"/>
      <c r="FH14" s="366"/>
      <c r="FI14" s="358">
        <f>SUM(FD14:FH14)</f>
        <v>0</v>
      </c>
      <c r="FJ14" s="33"/>
      <c r="FK14" s="357"/>
      <c r="FL14" s="366"/>
      <c r="FM14" s="366"/>
      <c r="FN14" s="366"/>
      <c r="FO14" s="366"/>
      <c r="FP14" s="358">
        <f>SUM(FK14:FO14)</f>
        <v>0</v>
      </c>
      <c r="FQ14" s="33"/>
      <c r="FR14" s="357"/>
      <c r="FS14" s="366"/>
      <c r="FT14" s="366"/>
      <c r="FU14" s="366"/>
      <c r="FV14" s="366"/>
      <c r="FW14" s="358">
        <f>SUM(FR14:FV14)</f>
        <v>0</v>
      </c>
      <c r="FX14" s="33"/>
      <c r="FY14" s="357"/>
      <c r="FZ14" s="366"/>
      <c r="GA14" s="366"/>
      <c r="GB14" s="366"/>
      <c r="GC14" s="366"/>
      <c r="GD14" s="358">
        <f>SUM(FY14:GC14)</f>
        <v>0</v>
      </c>
      <c r="GE14" s="33"/>
      <c r="GF14" s="357"/>
      <c r="GG14" s="366"/>
      <c r="GH14" s="366"/>
      <c r="GI14" s="366"/>
      <c r="GJ14" s="366"/>
      <c r="GK14" s="358">
        <f>SUM(GF14:GJ14)</f>
        <v>0</v>
      </c>
      <c r="GL14" s="33"/>
      <c r="GM14" s="357"/>
      <c r="GN14" s="366"/>
      <c r="GO14" s="366"/>
      <c r="GP14" s="366"/>
      <c r="GQ14" s="366"/>
      <c r="GR14" s="358">
        <f>SUM(GM14:GQ14)</f>
        <v>0</v>
      </c>
      <c r="GS14" s="33"/>
      <c r="GT14" s="357"/>
      <c r="GU14" s="366"/>
      <c r="GV14" s="366"/>
      <c r="GW14" s="366"/>
      <c r="GX14" s="366"/>
      <c r="GY14" s="358">
        <f>SUM(GT14:GX14)</f>
        <v>0</v>
      </c>
      <c r="GZ14" s="33"/>
      <c r="HA14" s="357"/>
      <c r="HB14" s="366"/>
      <c r="HC14" s="366"/>
      <c r="HD14" s="366"/>
      <c r="HE14" s="366"/>
      <c r="HF14" s="358">
        <f>SUM(HA14:HE14)</f>
        <v>0</v>
      </c>
      <c r="HG14" s="33"/>
      <c r="HH14" s="357"/>
      <c r="HI14" s="366"/>
      <c r="HJ14" s="366"/>
      <c r="HK14" s="366"/>
      <c r="HL14" s="366"/>
      <c r="HM14" s="358">
        <f>SUM(HH14:HL14)</f>
        <v>0</v>
      </c>
      <c r="HN14" s="33"/>
      <c r="HO14" s="357"/>
      <c r="HP14" s="366"/>
      <c r="HQ14" s="366"/>
      <c r="HR14" s="366"/>
      <c r="HS14" s="366"/>
      <c r="HT14" s="358">
        <f>SUM(HO14:HS14)</f>
        <v>0</v>
      </c>
      <c r="HU14" s="33"/>
      <c r="HV14" s="33">
        <v>-11637</v>
      </c>
      <c r="HW14" s="33"/>
      <c r="HX14" s="33"/>
      <c r="HY14" s="33"/>
      <c r="HZ14" s="359">
        <v>3641</v>
      </c>
      <c r="IA14" s="33">
        <f>SUM(HV14:HZ14)</f>
        <v>-7996</v>
      </c>
      <c r="IB14" s="33"/>
      <c r="IC14" s="33">
        <v>-10817</v>
      </c>
      <c r="ID14" s="33"/>
      <c r="IE14" s="33"/>
      <c r="IF14" s="33"/>
      <c r="IG14" s="359"/>
      <c r="IH14" s="33">
        <f>SUM(IC14:IG14)</f>
        <v>-10817</v>
      </c>
      <c r="II14" s="127"/>
      <c r="IJ14" s="33"/>
      <c r="IK14" s="33"/>
      <c r="IL14" s="33"/>
      <c r="IM14" s="33"/>
      <c r="IN14" s="359"/>
      <c r="IO14" s="33"/>
      <c r="IP14" s="127"/>
      <c r="IQ14" s="33"/>
      <c r="IR14" s="33"/>
      <c r="IS14" s="33"/>
      <c r="IT14" s="33"/>
      <c r="IU14" s="33"/>
      <c r="IV14" s="33"/>
    </row>
    <row r="15" spans="1:256">
      <c r="A15" s="106" t="s">
        <v>491</v>
      </c>
      <c r="B15" s="106"/>
      <c r="C15" s="106"/>
      <c r="D15" s="106"/>
      <c r="E15" s="106"/>
      <c r="F15" s="357"/>
      <c r="G15" s="366"/>
      <c r="H15" s="366"/>
      <c r="I15" s="366"/>
      <c r="J15" s="538">
        <v>-88</v>
      </c>
      <c r="K15" s="358">
        <f>SUM(F15:J15)</f>
        <v>-88</v>
      </c>
      <c r="L15" s="33"/>
      <c r="M15" s="558"/>
      <c r="N15" s="477"/>
      <c r="O15" s="477"/>
      <c r="P15" s="477"/>
      <c r="Q15" s="561"/>
      <c r="R15" s="559">
        <f>SUM(M15:Q15)</f>
        <v>0</v>
      </c>
      <c r="S15" s="366"/>
      <c r="T15" s="33">
        <f t="shared" si="0"/>
        <v>0</v>
      </c>
      <c r="U15" s="33">
        <f t="shared" si="1"/>
        <v>0</v>
      </c>
      <c r="V15" s="33">
        <f t="shared" si="2"/>
        <v>0</v>
      </c>
      <c r="W15" s="33">
        <f t="shared" si="3"/>
        <v>0</v>
      </c>
      <c r="X15" s="33">
        <f t="shared" si="4"/>
        <v>-88</v>
      </c>
      <c r="Y15" s="33">
        <f t="shared" si="5"/>
        <v>-88</v>
      </c>
      <c r="Z15" s="33"/>
      <c r="AA15" s="558"/>
      <c r="AB15" s="477"/>
      <c r="AC15" s="477"/>
      <c r="AD15" s="477"/>
      <c r="AE15" s="573">
        <v>-84</v>
      </c>
      <c r="AF15" s="559">
        <f>SUM(AA15:AE15)</f>
        <v>-84</v>
      </c>
      <c r="AG15" s="33"/>
      <c r="AH15" s="357"/>
      <c r="AI15" s="366"/>
      <c r="AJ15" s="366"/>
      <c r="AK15" s="366"/>
      <c r="AL15" s="538">
        <v>-315</v>
      </c>
      <c r="AM15" s="358">
        <f>SUM(AH15:AL15)</f>
        <v>-315</v>
      </c>
      <c r="AN15" s="33"/>
      <c r="AO15" s="357"/>
      <c r="AP15" s="366"/>
      <c r="AQ15" s="366"/>
      <c r="AR15" s="366"/>
      <c r="AS15" s="118">
        <v>69</v>
      </c>
      <c r="AT15" s="358">
        <f>SUM(AO15:AS15)</f>
        <v>69</v>
      </c>
      <c r="AU15" s="33"/>
      <c r="AV15" s="357"/>
      <c r="AW15" s="366"/>
      <c r="AX15" s="366"/>
      <c r="AY15" s="366"/>
      <c r="AZ15" s="118">
        <v>102</v>
      </c>
      <c r="BA15" s="358">
        <f>SUM(AV15:AZ15)</f>
        <v>102</v>
      </c>
      <c r="BB15" s="33"/>
      <c r="BC15" s="357"/>
      <c r="BD15" s="366"/>
      <c r="BE15" s="366"/>
      <c r="BF15" s="366"/>
      <c r="BG15" s="118">
        <v>-472</v>
      </c>
      <c r="BH15" s="358">
        <f>SUM(BC15:BG15)</f>
        <v>-472</v>
      </c>
      <c r="BI15" s="33"/>
      <c r="BJ15" s="357"/>
      <c r="BK15" s="366"/>
      <c r="BL15" s="366"/>
      <c r="BM15" s="366"/>
      <c r="BN15" s="118">
        <v>-834</v>
      </c>
      <c r="BO15" s="358">
        <f>SUM(BJ15:BN15)</f>
        <v>-834</v>
      </c>
      <c r="BP15" s="33"/>
      <c r="BQ15" s="357"/>
      <c r="BR15" s="366"/>
      <c r="BS15" s="366"/>
      <c r="BT15" s="366"/>
      <c r="BU15" s="118">
        <v>-598</v>
      </c>
      <c r="BV15" s="358">
        <f>SUM(BQ15:BU15)</f>
        <v>-598</v>
      </c>
      <c r="BW15" s="33"/>
      <c r="BX15" s="357"/>
      <c r="BY15" s="366"/>
      <c r="BZ15" s="366"/>
      <c r="CA15" s="366"/>
      <c r="CB15" s="118">
        <v>-668</v>
      </c>
      <c r="CC15" s="358">
        <f>SUM(BX15:CB15)</f>
        <v>-668</v>
      </c>
      <c r="CD15" s="33"/>
      <c r="CE15" s="357"/>
      <c r="CF15" s="366"/>
      <c r="CG15" s="366"/>
      <c r="CH15" s="366"/>
      <c r="CI15" s="118">
        <v>1030</v>
      </c>
      <c r="CJ15" s="358">
        <f>SUM(CE15:CI15)</f>
        <v>1030</v>
      </c>
      <c r="CK15" s="33"/>
      <c r="CL15" s="357"/>
      <c r="CM15" s="366"/>
      <c r="CN15" s="366"/>
      <c r="CO15" s="366"/>
      <c r="CP15" s="118">
        <v>1030</v>
      </c>
      <c r="CQ15" s="358">
        <f>SUM(CL15:CP15)</f>
        <v>1030</v>
      </c>
      <c r="CR15" s="33"/>
      <c r="CS15" s="357"/>
      <c r="CT15" s="366"/>
      <c r="CU15" s="366"/>
      <c r="CV15" s="366"/>
      <c r="CW15" s="118">
        <v>26</v>
      </c>
      <c r="CX15" s="358">
        <f>SUM(CS15:CW15)</f>
        <v>26</v>
      </c>
      <c r="CY15" s="33"/>
      <c r="CZ15" s="357"/>
      <c r="DA15" s="366"/>
      <c r="DB15" s="366"/>
      <c r="DC15" s="366"/>
      <c r="DD15" s="118">
        <v>157</v>
      </c>
      <c r="DE15" s="358">
        <f>SUM(CZ15:DD15)</f>
        <v>157</v>
      </c>
      <c r="DF15" s="33"/>
      <c r="DG15" s="357"/>
      <c r="DH15" s="366"/>
      <c r="DI15" s="366"/>
      <c r="DJ15" s="366"/>
      <c r="DK15" s="118">
        <v>308</v>
      </c>
      <c r="DL15" s="358">
        <f>SUM(DG15:DK15)</f>
        <v>308</v>
      </c>
      <c r="DM15" s="33"/>
      <c r="DN15" s="357"/>
      <c r="DO15" s="366"/>
      <c r="DP15" s="366"/>
      <c r="DQ15" s="366"/>
      <c r="DR15" s="118">
        <v>71</v>
      </c>
      <c r="DS15" s="358">
        <f>SUM(DN15:DR15)</f>
        <v>71</v>
      </c>
      <c r="DT15" s="33"/>
      <c r="DU15" s="357"/>
      <c r="DV15" s="366"/>
      <c r="DW15" s="366"/>
      <c r="DX15" s="366"/>
      <c r="DY15" s="118">
        <v>-115</v>
      </c>
      <c r="DZ15" s="358">
        <f>SUM(DU15:DY15)</f>
        <v>-115</v>
      </c>
      <c r="EA15" s="33"/>
      <c r="EB15" s="357"/>
      <c r="EC15" s="366"/>
      <c r="ED15" s="366"/>
      <c r="EE15" s="366"/>
      <c r="EF15" s="118">
        <v>-22</v>
      </c>
      <c r="EG15" s="358">
        <f>SUM(EB15:EF15)</f>
        <v>-22</v>
      </c>
      <c r="EH15" s="33"/>
      <c r="EI15" s="357"/>
      <c r="EJ15" s="366"/>
      <c r="EK15" s="366"/>
      <c r="EL15" s="366"/>
      <c r="EM15" s="118">
        <v>-344</v>
      </c>
      <c r="EN15" s="358">
        <f>SUM(EI15:EM15)</f>
        <v>-344</v>
      </c>
      <c r="EO15" s="33"/>
      <c r="EP15" s="357"/>
      <c r="EQ15" s="366"/>
      <c r="ER15" s="366"/>
      <c r="ES15" s="366"/>
      <c r="ET15" s="118">
        <v>-369</v>
      </c>
      <c r="EU15" s="358">
        <f>SUM(EP15:ET15)</f>
        <v>-369</v>
      </c>
      <c r="EV15" s="33"/>
      <c r="EW15" s="357"/>
      <c r="EX15" s="366"/>
      <c r="EY15" s="366"/>
      <c r="EZ15" s="366"/>
      <c r="FA15" s="118">
        <v>-82</v>
      </c>
      <c r="FB15" s="358">
        <f>SUM(EW15:FA15)</f>
        <v>-82</v>
      </c>
      <c r="FC15" s="33"/>
      <c r="FD15" s="357"/>
      <c r="FE15" s="366"/>
      <c r="FF15" s="366"/>
      <c r="FG15" s="366"/>
      <c r="FH15" s="118">
        <v>12</v>
      </c>
      <c r="FI15" s="358">
        <f>SUM(FD15:FH15)</f>
        <v>12</v>
      </c>
      <c r="FJ15" s="33"/>
      <c r="FK15" s="357"/>
      <c r="FL15" s="366"/>
      <c r="FM15" s="366"/>
      <c r="FN15" s="366"/>
      <c r="FO15" s="118">
        <v>-627</v>
      </c>
      <c r="FP15" s="358">
        <f>SUM(FK15:FO15)</f>
        <v>-627</v>
      </c>
      <c r="FQ15" s="33"/>
      <c r="FR15" s="357"/>
      <c r="FS15" s="366"/>
      <c r="FT15" s="366"/>
      <c r="FU15" s="366"/>
      <c r="FV15" s="118">
        <v>203</v>
      </c>
      <c r="FW15" s="358">
        <f>SUM(FR15:FV15)</f>
        <v>203</v>
      </c>
      <c r="FX15" s="33"/>
      <c r="FY15" s="357"/>
      <c r="FZ15" s="366"/>
      <c r="GA15" s="366"/>
      <c r="GB15" s="366"/>
      <c r="GC15" s="118">
        <v>577</v>
      </c>
      <c r="GD15" s="358">
        <f>SUM(FY15:GC15)</f>
        <v>577</v>
      </c>
      <c r="GE15" s="33"/>
      <c r="GF15" s="357"/>
      <c r="GG15" s="366"/>
      <c r="GH15" s="366"/>
      <c r="GI15" s="366"/>
      <c r="GJ15" s="118">
        <v>387</v>
      </c>
      <c r="GK15" s="358">
        <f>SUM(GF15:GJ15)</f>
        <v>387</v>
      </c>
      <c r="GL15" s="33"/>
      <c r="GM15" s="357"/>
      <c r="GN15" s="366"/>
      <c r="GO15" s="366"/>
      <c r="GP15" s="366"/>
      <c r="GQ15" s="118">
        <v>85</v>
      </c>
      <c r="GR15" s="358">
        <f>SUM(GM15:GQ15)</f>
        <v>85</v>
      </c>
      <c r="GS15" s="33"/>
      <c r="GT15" s="357"/>
      <c r="GU15" s="366"/>
      <c r="GV15" s="366"/>
      <c r="GW15" s="366"/>
      <c r="GX15" s="118">
        <v>-436</v>
      </c>
      <c r="GY15" s="358">
        <f>SUM(GT15:GX15)</f>
        <v>-436</v>
      </c>
      <c r="GZ15" s="33"/>
      <c r="HA15" s="357"/>
      <c r="HB15" s="366"/>
      <c r="HC15" s="366"/>
      <c r="HD15" s="366"/>
      <c r="HE15" s="118">
        <f>-901+736</f>
        <v>-165</v>
      </c>
      <c r="HF15" s="358">
        <f>SUM(HA15:HE15)</f>
        <v>-165</v>
      </c>
      <c r="HG15" s="33"/>
      <c r="HH15" s="357"/>
      <c r="HI15" s="366"/>
      <c r="HJ15" s="366"/>
      <c r="HK15" s="366"/>
      <c r="HL15" s="118">
        <f>-767+736</f>
        <v>-31</v>
      </c>
      <c r="HM15" s="358">
        <f>SUM(HH15:HL15)</f>
        <v>-31</v>
      </c>
      <c r="HN15" s="33"/>
      <c r="HO15" s="357"/>
      <c r="HP15" s="366"/>
      <c r="HQ15" s="366"/>
      <c r="HR15" s="366"/>
      <c r="HS15" s="366">
        <v>27</v>
      </c>
      <c r="HT15" s="358">
        <f>SUM(HO15:HS15)</f>
        <v>27</v>
      </c>
      <c r="HU15" s="33"/>
      <c r="HV15" s="33"/>
      <c r="HW15" s="33"/>
      <c r="HX15" s="33"/>
      <c r="HY15" s="33"/>
      <c r="HZ15" s="360">
        <f>-737+531</f>
        <v>-206</v>
      </c>
      <c r="IA15" s="33">
        <f>SUM(HV15:HZ15)</f>
        <v>-206</v>
      </c>
      <c r="IB15" s="33"/>
      <c r="IC15" s="33"/>
      <c r="ID15" s="33"/>
      <c r="IE15" s="33"/>
      <c r="IF15" s="33"/>
      <c r="IG15" s="360">
        <f>-327+531</f>
        <v>204</v>
      </c>
      <c r="IH15" s="33">
        <f>SUM(IC15:IG15)</f>
        <v>204</v>
      </c>
      <c r="II15" s="127"/>
      <c r="IJ15" s="33"/>
      <c r="IK15" s="33"/>
      <c r="IL15" s="33"/>
      <c r="IM15" s="33"/>
      <c r="IN15" s="360">
        <v>99</v>
      </c>
      <c r="IO15" s="33">
        <v>99</v>
      </c>
      <c r="IP15" s="127"/>
      <c r="IQ15" s="33"/>
      <c r="IR15" s="33"/>
      <c r="IS15" s="33"/>
      <c r="IT15" s="33"/>
      <c r="IU15" s="33">
        <f>-608+530+1</f>
        <v>-77</v>
      </c>
      <c r="IV15" s="33">
        <f>SUM(IQ15:IU15)</f>
        <v>-77</v>
      </c>
    </row>
    <row r="16" spans="1:256">
      <c r="A16" s="106" t="s">
        <v>520</v>
      </c>
      <c r="B16" s="106"/>
      <c r="C16" s="106"/>
      <c r="D16" s="106"/>
      <c r="E16" s="106"/>
      <c r="F16" s="357"/>
      <c r="G16" s="366"/>
      <c r="H16" s="366"/>
      <c r="I16" s="366"/>
      <c r="J16" s="366"/>
      <c r="K16" s="358">
        <f>SUM(F16:J16)</f>
        <v>0</v>
      </c>
      <c r="L16" s="33"/>
      <c r="M16" s="558"/>
      <c r="N16" s="477"/>
      <c r="O16" s="477"/>
      <c r="P16" s="477"/>
      <c r="Q16" s="477"/>
      <c r="R16" s="559">
        <f>SUM(M16:Q16)</f>
        <v>0</v>
      </c>
      <c r="S16" s="366"/>
      <c r="T16" s="33">
        <f t="shared" si="0"/>
        <v>0</v>
      </c>
      <c r="U16" s="33">
        <f t="shared" si="1"/>
        <v>0</v>
      </c>
      <c r="V16" s="33">
        <f t="shared" si="2"/>
        <v>0</v>
      </c>
      <c r="W16" s="33">
        <f t="shared" si="3"/>
        <v>0</v>
      </c>
      <c r="X16" s="33">
        <f t="shared" si="4"/>
        <v>0</v>
      </c>
      <c r="Y16" s="33">
        <f t="shared" si="5"/>
        <v>0</v>
      </c>
      <c r="Z16" s="33"/>
      <c r="AA16" s="558"/>
      <c r="AB16" s="477"/>
      <c r="AC16" s="477"/>
      <c r="AD16" s="477"/>
      <c r="AE16" s="477"/>
      <c r="AF16" s="559">
        <f>SUM(AA16:AE16)</f>
        <v>0</v>
      </c>
      <c r="AG16" s="33"/>
      <c r="AH16" s="357"/>
      <c r="AI16" s="366"/>
      <c r="AJ16" s="366"/>
      <c r="AK16" s="366"/>
      <c r="AL16" s="366"/>
      <c r="AM16" s="358">
        <f>SUM(AH16:AL16)</f>
        <v>0</v>
      </c>
      <c r="AN16" s="33"/>
      <c r="AO16" s="357"/>
      <c r="AP16" s="366"/>
      <c r="AQ16" s="366"/>
      <c r="AR16" s="366"/>
      <c r="AS16" s="366"/>
      <c r="AT16" s="358">
        <f>SUM(AO16:AS16)</f>
        <v>0</v>
      </c>
      <c r="AU16" s="33"/>
      <c r="AV16" s="357"/>
      <c r="AW16" s="366"/>
      <c r="AX16" s="366"/>
      <c r="AY16" s="366"/>
      <c r="AZ16" s="366"/>
      <c r="BA16" s="358">
        <f>SUM(AV16:AZ16)</f>
        <v>0</v>
      </c>
      <c r="BB16" s="33"/>
      <c r="BC16" s="357"/>
      <c r="BD16" s="366"/>
      <c r="BE16" s="366"/>
      <c r="BF16" s="366"/>
      <c r="BG16" s="366"/>
      <c r="BH16" s="358">
        <f>SUM(BC16:BG16)</f>
        <v>0</v>
      </c>
      <c r="BI16" s="33"/>
      <c r="BJ16" s="357"/>
      <c r="BK16" s="366"/>
      <c r="BL16" s="366"/>
      <c r="BM16" s="366"/>
      <c r="BN16" s="366"/>
      <c r="BO16" s="358">
        <f>SUM(BJ16:BN16)</f>
        <v>0</v>
      </c>
      <c r="BP16" s="33"/>
      <c r="BQ16" s="357"/>
      <c r="BR16" s="366"/>
      <c r="BS16" s="366"/>
      <c r="BT16" s="366"/>
      <c r="BU16" s="366"/>
      <c r="BV16" s="358">
        <f>SUM(BQ16:BU16)</f>
        <v>0</v>
      </c>
      <c r="BW16" s="33"/>
      <c r="BX16" s="357"/>
      <c r="BY16" s="366"/>
      <c r="BZ16" s="366"/>
      <c r="CA16" s="366"/>
      <c r="CB16" s="366"/>
      <c r="CC16" s="358">
        <f>SUM(BX16:CB16)</f>
        <v>0</v>
      </c>
      <c r="CD16" s="33"/>
      <c r="CE16" s="357"/>
      <c r="CF16" s="366"/>
      <c r="CG16" s="366"/>
      <c r="CH16" s="366"/>
      <c r="CI16" s="366"/>
      <c r="CJ16" s="358">
        <f>SUM(CE16:CI16)</f>
        <v>0</v>
      </c>
      <c r="CK16" s="33"/>
      <c r="CL16" s="357"/>
      <c r="CM16" s="366"/>
      <c r="CN16" s="366"/>
      <c r="CO16" s="366"/>
      <c r="CP16" s="366"/>
      <c r="CQ16" s="358">
        <f>SUM(CL16:CP16)</f>
        <v>0</v>
      </c>
      <c r="CR16" s="33"/>
      <c r="CS16" s="357"/>
      <c r="CT16" s="366"/>
      <c r="CU16" s="366"/>
      <c r="CV16" s="366"/>
      <c r="CW16" s="366"/>
      <c r="CX16" s="358">
        <f>SUM(CS16:CW16)</f>
        <v>0</v>
      </c>
      <c r="CY16" s="33"/>
      <c r="CZ16" s="357"/>
      <c r="DA16" s="366"/>
      <c r="DB16" s="366"/>
      <c r="DC16" s="366"/>
      <c r="DD16" s="366"/>
      <c r="DE16" s="358">
        <f>SUM(CZ16:DD16)</f>
        <v>0</v>
      </c>
      <c r="DF16" s="33"/>
      <c r="DG16" s="357"/>
      <c r="DH16" s="366"/>
      <c r="DI16" s="366"/>
      <c r="DJ16" s="366"/>
      <c r="DK16" s="366"/>
      <c r="DL16" s="358">
        <f>SUM(DG16:DK16)</f>
        <v>0</v>
      </c>
      <c r="DM16" s="33"/>
      <c r="DN16" s="357"/>
      <c r="DO16" s="366"/>
      <c r="DP16" s="366"/>
      <c r="DQ16" s="366"/>
      <c r="DR16" s="366"/>
      <c r="DS16" s="358">
        <f>SUM(DN16:DR16)</f>
        <v>0</v>
      </c>
      <c r="DT16" s="33"/>
      <c r="DU16" s="357"/>
      <c r="DV16" s="366"/>
      <c r="DW16" s="366"/>
      <c r="DX16" s="366"/>
      <c r="DY16" s="366"/>
      <c r="DZ16" s="358">
        <f>SUM(DU16:DY16)</f>
        <v>0</v>
      </c>
      <c r="EA16" s="33"/>
      <c r="EB16" s="357"/>
      <c r="EC16" s="366"/>
      <c r="ED16" s="366"/>
      <c r="EE16" s="366"/>
      <c r="EF16" s="366"/>
      <c r="EG16" s="358">
        <f>SUM(EB16:EF16)</f>
        <v>0</v>
      </c>
      <c r="EH16" s="33"/>
      <c r="EI16" s="357"/>
      <c r="EJ16" s="366"/>
      <c r="EK16" s="366"/>
      <c r="EL16" s="366"/>
      <c r="EM16" s="366"/>
      <c r="EN16" s="358">
        <f>SUM(EI16:EM16)</f>
        <v>0</v>
      </c>
      <c r="EO16" s="33"/>
      <c r="EP16" s="357"/>
      <c r="EQ16" s="366"/>
      <c r="ER16" s="366"/>
      <c r="ES16" s="366"/>
      <c r="ET16" s="366"/>
      <c r="EU16" s="358">
        <f>SUM(EP16:ET16)</f>
        <v>0</v>
      </c>
      <c r="EV16" s="33"/>
      <c r="EW16" s="357"/>
      <c r="EX16" s="366"/>
      <c r="EY16" s="366"/>
      <c r="EZ16" s="366"/>
      <c r="FA16" s="366"/>
      <c r="FB16" s="358">
        <f>SUM(EW16:FA16)</f>
        <v>0</v>
      </c>
      <c r="FC16" s="33"/>
      <c r="FD16" s="357"/>
      <c r="FE16" s="366"/>
      <c r="FF16" s="366"/>
      <c r="FG16" s="366"/>
      <c r="FH16" s="366"/>
      <c r="FI16" s="358">
        <f>SUM(FD16:FH16)</f>
        <v>0</v>
      </c>
      <c r="FJ16" s="33"/>
      <c r="FK16" s="357"/>
      <c r="FL16" s="366"/>
      <c r="FM16" s="366"/>
      <c r="FN16" s="366"/>
      <c r="FO16" s="366"/>
      <c r="FP16" s="358">
        <f>SUM(FK16:FO16)</f>
        <v>0</v>
      </c>
      <c r="FQ16" s="33"/>
      <c r="FR16" s="357"/>
      <c r="FS16" s="366"/>
      <c r="FT16" s="366"/>
      <c r="FU16" s="366"/>
      <c r="FV16" s="366"/>
      <c r="FW16" s="358">
        <f>SUM(FR16:FV16)</f>
        <v>0</v>
      </c>
      <c r="FX16" s="33"/>
      <c r="FY16" s="357"/>
      <c r="FZ16" s="366"/>
      <c r="GA16" s="366"/>
      <c r="GB16" s="366"/>
      <c r="GC16" s="366"/>
      <c r="GD16" s="358">
        <f>SUM(FY16:GC16)</f>
        <v>0</v>
      </c>
      <c r="GE16" s="33"/>
      <c r="GF16" s="357"/>
      <c r="GG16" s="366"/>
      <c r="GH16" s="366"/>
      <c r="GI16" s="366"/>
      <c r="GJ16" s="366"/>
      <c r="GK16" s="358">
        <f>SUM(GF16:GJ16)</f>
        <v>0</v>
      </c>
      <c r="GL16" s="33"/>
      <c r="GM16" s="357"/>
      <c r="GN16" s="366"/>
      <c r="GO16" s="366"/>
      <c r="GP16" s="366"/>
      <c r="GQ16" s="366"/>
      <c r="GR16" s="358">
        <f>SUM(GM16:GQ16)</f>
        <v>0</v>
      </c>
      <c r="GS16" s="33"/>
      <c r="GT16" s="357"/>
      <c r="GU16" s="366"/>
      <c r="GV16" s="366"/>
      <c r="GW16" s="366"/>
      <c r="GX16" s="366"/>
      <c r="GY16" s="358">
        <f>SUM(GT16:GX16)</f>
        <v>0</v>
      </c>
      <c r="GZ16" s="33"/>
      <c r="HA16" s="357"/>
      <c r="HB16" s="366"/>
      <c r="HC16" s="366"/>
      <c r="HD16" s="366"/>
      <c r="HE16" s="366"/>
      <c r="HF16" s="358">
        <f>SUM(HA16:HE16)</f>
        <v>0</v>
      </c>
      <c r="HG16" s="33"/>
      <c r="HH16" s="357"/>
      <c r="HI16" s="366"/>
      <c r="HJ16" s="366"/>
      <c r="HK16" s="366"/>
      <c r="HL16" s="366"/>
      <c r="HM16" s="358">
        <f>SUM(HH16:HL16)</f>
        <v>0</v>
      </c>
      <c r="HN16" s="33"/>
      <c r="HO16" s="357"/>
      <c r="HP16" s="366"/>
      <c r="HQ16" s="366"/>
      <c r="HR16" s="366"/>
      <c r="HS16" s="366"/>
      <c r="HT16" s="358">
        <f>SUM(HO16:HS16)</f>
        <v>0</v>
      </c>
      <c r="HU16" s="33"/>
      <c r="HV16" s="33"/>
      <c r="HW16" s="33"/>
      <c r="HX16" s="33"/>
      <c r="HY16" s="33"/>
      <c r="HZ16" s="33">
        <f>7*11.5</f>
        <v>80.5</v>
      </c>
      <c r="IA16" s="33">
        <f>SUM(HV16:HZ16)</f>
        <v>80.5</v>
      </c>
      <c r="IB16" s="33"/>
      <c r="IC16" s="33"/>
      <c r="ID16" s="33"/>
      <c r="IE16" s="33"/>
      <c r="IF16" s="33"/>
      <c r="IG16" s="33">
        <f>7*9</f>
        <v>63</v>
      </c>
      <c r="IH16" s="33">
        <f>SUM(IC16:IG16)</f>
        <v>63</v>
      </c>
      <c r="II16" s="127"/>
      <c r="IJ16" s="33"/>
      <c r="IK16" s="33"/>
      <c r="IL16" s="33"/>
      <c r="IM16" s="33"/>
      <c r="IN16" s="33">
        <v>42</v>
      </c>
      <c r="IO16" s="33">
        <v>42</v>
      </c>
      <c r="IP16" s="127"/>
      <c r="IQ16" s="33"/>
      <c r="IR16" s="33"/>
      <c r="IS16" s="33"/>
      <c r="IT16" s="33"/>
      <c r="IU16" s="33">
        <f>7*3</f>
        <v>21</v>
      </c>
      <c r="IV16" s="33">
        <f>SUM(IQ16:IU16)</f>
        <v>21</v>
      </c>
    </row>
    <row r="17" spans="1:256">
      <c r="A17" s="106" t="s">
        <v>341</v>
      </c>
      <c r="B17" s="106"/>
      <c r="C17" s="106"/>
      <c r="D17" s="106"/>
      <c r="E17" s="106"/>
      <c r="F17" s="396">
        <v>297</v>
      </c>
      <c r="G17" s="363">
        <v>127</v>
      </c>
      <c r="H17" s="363"/>
      <c r="I17" s="363"/>
      <c r="J17" s="363">
        <f>-153</f>
        <v>-153</v>
      </c>
      <c r="K17" s="362">
        <f>SUM(F17:J17)</f>
        <v>271</v>
      </c>
      <c r="L17" s="33"/>
      <c r="M17" s="562"/>
      <c r="N17" s="563"/>
      <c r="O17" s="563"/>
      <c r="P17" s="563"/>
      <c r="Q17" s="563"/>
      <c r="R17" s="564">
        <f>SUM(M17:Q17)</f>
        <v>0</v>
      </c>
      <c r="S17" s="366"/>
      <c r="T17" s="363">
        <f t="shared" si="0"/>
        <v>297</v>
      </c>
      <c r="U17" s="363">
        <f t="shared" si="1"/>
        <v>127</v>
      </c>
      <c r="V17" s="363">
        <f t="shared" si="2"/>
        <v>0</v>
      </c>
      <c r="W17" s="363">
        <f t="shared" si="3"/>
        <v>0</v>
      </c>
      <c r="X17" s="363">
        <f t="shared" si="4"/>
        <v>-153</v>
      </c>
      <c r="Y17" s="363">
        <f t="shared" si="5"/>
        <v>271</v>
      </c>
      <c r="Z17" s="33"/>
      <c r="AA17" s="562">
        <v>1153</v>
      </c>
      <c r="AB17" s="563">
        <v>458</v>
      </c>
      <c r="AC17" s="563"/>
      <c r="AD17" s="563"/>
      <c r="AE17" s="563">
        <f>-153-153-153-153</f>
        <v>-612</v>
      </c>
      <c r="AF17" s="564">
        <f>SUM(AA17:AE17)</f>
        <v>999</v>
      </c>
      <c r="AG17" s="33"/>
      <c r="AH17" s="396">
        <v>895</v>
      </c>
      <c r="AI17" s="363">
        <v>346</v>
      </c>
      <c r="AJ17" s="363"/>
      <c r="AK17" s="363"/>
      <c r="AL17" s="363">
        <f>-153-153-153</f>
        <v>-459</v>
      </c>
      <c r="AM17" s="362">
        <f>SUM(AH17:AL17)</f>
        <v>782</v>
      </c>
      <c r="AN17" s="33"/>
      <c r="AO17" s="396">
        <v>621</v>
      </c>
      <c r="AP17" s="363">
        <v>219</v>
      </c>
      <c r="AQ17" s="363"/>
      <c r="AR17" s="363"/>
      <c r="AS17" s="363">
        <f>-153-153</f>
        <v>-306</v>
      </c>
      <c r="AT17" s="362">
        <f>SUM(AO17:AS17)</f>
        <v>534</v>
      </c>
      <c r="AU17" s="33"/>
      <c r="AV17" s="396">
        <v>295</v>
      </c>
      <c r="AW17" s="363">
        <v>108</v>
      </c>
      <c r="AX17" s="363"/>
      <c r="AY17" s="363"/>
      <c r="AZ17" s="363">
        <f>-153</f>
        <v>-153</v>
      </c>
      <c r="BA17" s="362">
        <f>SUM(AV17:AZ17)</f>
        <v>250</v>
      </c>
      <c r="BB17" s="33"/>
      <c r="BC17" s="396">
        <v>1472</v>
      </c>
      <c r="BD17" s="363">
        <v>381</v>
      </c>
      <c r="BE17" s="363"/>
      <c r="BF17" s="363"/>
      <c r="BG17" s="363">
        <f>-153-153-153-153</f>
        <v>-612</v>
      </c>
      <c r="BH17" s="362">
        <f>SUM(BC17:BG17)</f>
        <v>1241</v>
      </c>
      <c r="BI17" s="33"/>
      <c r="BJ17" s="396">
        <v>1168</v>
      </c>
      <c r="BK17" s="363">
        <v>217</v>
      </c>
      <c r="BL17" s="363"/>
      <c r="BM17" s="363"/>
      <c r="BN17" s="363">
        <f>-153-153-153</f>
        <v>-459</v>
      </c>
      <c r="BO17" s="362">
        <f>SUM(BJ17:BN17)</f>
        <v>926</v>
      </c>
      <c r="BP17" s="33"/>
      <c r="BQ17" s="396">
        <v>807</v>
      </c>
      <c r="BR17" s="363">
        <v>135</v>
      </c>
      <c r="BS17" s="363"/>
      <c r="BT17" s="363"/>
      <c r="BU17" s="363">
        <f>-153-153</f>
        <v>-306</v>
      </c>
      <c r="BV17" s="362">
        <f>SUM(BQ17:BU17)</f>
        <v>636</v>
      </c>
      <c r="BW17" s="33"/>
      <c r="BX17" s="396">
        <v>413</v>
      </c>
      <c r="BY17" s="363">
        <v>59</v>
      </c>
      <c r="BZ17" s="363"/>
      <c r="CA17" s="363"/>
      <c r="CB17" s="363">
        <v>-153</v>
      </c>
      <c r="CC17" s="362">
        <f>SUM(BX17:CB17)</f>
        <v>319</v>
      </c>
      <c r="CD17" s="33"/>
      <c r="CE17" s="396">
        <v>1709</v>
      </c>
      <c r="CF17" s="363">
        <v>657</v>
      </c>
      <c r="CG17" s="363"/>
      <c r="CH17" s="363"/>
      <c r="CI17" s="363">
        <f>-51*12</f>
        <v>-612</v>
      </c>
      <c r="CJ17" s="362">
        <f>SUM(CE17:CI17)</f>
        <v>1754</v>
      </c>
      <c r="CK17" s="33"/>
      <c r="CL17" s="396">
        <v>1208</v>
      </c>
      <c r="CM17" s="363">
        <v>604</v>
      </c>
      <c r="CN17" s="363"/>
      <c r="CO17" s="363"/>
      <c r="CP17" s="363">
        <f>-51*9</f>
        <v>-459</v>
      </c>
      <c r="CQ17" s="362">
        <f>SUM(CL17:CP17)</f>
        <v>1353</v>
      </c>
      <c r="CR17" s="33"/>
      <c r="CS17" s="396">
        <v>814</v>
      </c>
      <c r="CT17" s="363">
        <v>473</v>
      </c>
      <c r="CU17" s="363"/>
      <c r="CV17" s="363"/>
      <c r="CW17" s="363">
        <f>-51*6</f>
        <v>-306</v>
      </c>
      <c r="CX17" s="362">
        <f>SUM(CS17:CW17)</f>
        <v>981</v>
      </c>
      <c r="CY17" s="33"/>
      <c r="CZ17" s="396">
        <v>449</v>
      </c>
      <c r="DA17" s="363">
        <f>376</f>
        <v>376</v>
      </c>
      <c r="DB17" s="363"/>
      <c r="DC17" s="363"/>
      <c r="DD17" s="363">
        <f>-51*3</f>
        <v>-153</v>
      </c>
      <c r="DE17" s="362">
        <f>SUM(CZ17:DD17)</f>
        <v>672</v>
      </c>
      <c r="DF17" s="33"/>
      <c r="DG17" s="396">
        <f>969+352</f>
        <v>1321</v>
      </c>
      <c r="DH17" s="363">
        <f>256+112</f>
        <v>368</v>
      </c>
      <c r="DI17" s="363"/>
      <c r="DJ17" s="363"/>
      <c r="DK17" s="363">
        <f>-51*3</f>
        <v>-153</v>
      </c>
      <c r="DL17" s="362">
        <f>SUM(DG17:DK17)</f>
        <v>1536</v>
      </c>
      <c r="DM17" s="33"/>
      <c r="DN17" s="396">
        <v>969</v>
      </c>
      <c r="DO17" s="363">
        <v>256</v>
      </c>
      <c r="DP17" s="363"/>
      <c r="DQ17" s="363"/>
      <c r="DR17" s="363">
        <f>-51*3</f>
        <v>-153</v>
      </c>
      <c r="DS17" s="362">
        <f>SUM(DN17:DR17)</f>
        <v>1072</v>
      </c>
      <c r="DT17" s="33"/>
      <c r="DU17" s="396">
        <v>621</v>
      </c>
      <c r="DV17" s="363">
        <f>166+1</f>
        <v>167</v>
      </c>
      <c r="DW17" s="363"/>
      <c r="DX17" s="363"/>
      <c r="DY17" s="363">
        <f>-51*3</f>
        <v>-153</v>
      </c>
      <c r="DZ17" s="362">
        <f>SUM(DU17:DY17)</f>
        <v>635</v>
      </c>
      <c r="EA17" s="33"/>
      <c r="EB17" s="396">
        <v>382</v>
      </c>
      <c r="EC17" s="363">
        <v>96</v>
      </c>
      <c r="ED17" s="363"/>
      <c r="EE17" s="363"/>
      <c r="EF17" s="363">
        <f>-51*3</f>
        <v>-153</v>
      </c>
      <c r="EG17" s="362">
        <f>SUM(EB17:EF17)</f>
        <v>325</v>
      </c>
      <c r="EH17" s="33"/>
      <c r="EI17" s="396">
        <f>255</f>
        <v>255</v>
      </c>
      <c r="EJ17" s="363">
        <v>52</v>
      </c>
      <c r="EK17" s="363"/>
      <c r="EL17" s="363"/>
      <c r="EM17" s="363">
        <f>-51*3</f>
        <v>-153</v>
      </c>
      <c r="EN17" s="362">
        <f>SUM(EI17:EM17)</f>
        <v>154</v>
      </c>
      <c r="EO17" s="33"/>
      <c r="EP17" s="396">
        <f>1146+7350</f>
        <v>8496</v>
      </c>
      <c r="EQ17" s="363">
        <v>302</v>
      </c>
      <c r="ER17" s="363"/>
      <c r="ES17" s="363"/>
      <c r="ET17" s="363">
        <f>-51*12-7350</f>
        <v>-7962</v>
      </c>
      <c r="EU17" s="362">
        <f>SUM(EP17:ET17)</f>
        <v>836</v>
      </c>
      <c r="EV17" s="33"/>
      <c r="EW17" s="396">
        <v>870</v>
      </c>
      <c r="EX17" s="363">
        <v>170</v>
      </c>
      <c r="EY17" s="363"/>
      <c r="EZ17" s="363"/>
      <c r="FA17" s="363">
        <f>-51*9</f>
        <v>-459</v>
      </c>
      <c r="FB17" s="362">
        <f>SUM(EW17:FA17)</f>
        <v>581</v>
      </c>
      <c r="FC17" s="33"/>
      <c r="FD17" s="396">
        <v>606</v>
      </c>
      <c r="FE17" s="363">
        <v>99</v>
      </c>
      <c r="FF17" s="363"/>
      <c r="FG17" s="363"/>
      <c r="FH17" s="363">
        <f>-51*6</f>
        <v>-306</v>
      </c>
      <c r="FI17" s="362">
        <f>SUM(FD17:FH17)</f>
        <v>399</v>
      </c>
      <c r="FJ17" s="33"/>
      <c r="FK17" s="396">
        <v>324</v>
      </c>
      <c r="FL17" s="363">
        <v>63</v>
      </c>
      <c r="FM17" s="363"/>
      <c r="FN17" s="363"/>
      <c r="FO17" s="363">
        <f>-51*3</f>
        <v>-153</v>
      </c>
      <c r="FP17" s="362">
        <f>SUM(FK17:FO17)</f>
        <v>234</v>
      </c>
      <c r="FQ17" s="33"/>
      <c r="FR17" s="396">
        <v>2724</v>
      </c>
      <c r="FS17" s="363">
        <v>296</v>
      </c>
      <c r="FT17" s="363"/>
      <c r="FU17" s="363"/>
      <c r="FV17" s="363">
        <f>-51*12</f>
        <v>-612</v>
      </c>
      <c r="FW17" s="362">
        <f>SUM(FR17:FV17)</f>
        <v>2408</v>
      </c>
      <c r="FX17" s="33"/>
      <c r="FY17" s="396">
        <v>1981</v>
      </c>
      <c r="FZ17" s="363">
        <v>209</v>
      </c>
      <c r="GA17" s="363"/>
      <c r="GB17" s="363"/>
      <c r="GC17" s="363">
        <f>-51*9</f>
        <v>-459</v>
      </c>
      <c r="GD17" s="362">
        <f>SUM(FY17:GC17)</f>
        <v>1731</v>
      </c>
      <c r="GE17" s="33"/>
      <c r="GF17" s="396">
        <v>1395</v>
      </c>
      <c r="GG17" s="363">
        <v>133</v>
      </c>
      <c r="GH17" s="363"/>
      <c r="GI17" s="363"/>
      <c r="GJ17" s="363">
        <f>-51*6</f>
        <v>-306</v>
      </c>
      <c r="GK17" s="362">
        <f>SUM(GF17:GJ17)</f>
        <v>1222</v>
      </c>
      <c r="GL17" s="33"/>
      <c r="GM17" s="396">
        <v>735</v>
      </c>
      <c r="GN17" s="363">
        <v>30</v>
      </c>
      <c r="GO17" s="363"/>
      <c r="GP17" s="363"/>
      <c r="GQ17" s="363">
        <f>-51*3</f>
        <v>-153</v>
      </c>
      <c r="GR17" s="362">
        <f>SUM(GM17:GQ17)</f>
        <v>612</v>
      </c>
      <c r="GS17" s="33"/>
      <c r="GT17" s="396">
        <f>27727</f>
        <v>27727</v>
      </c>
      <c r="GU17" s="363">
        <f>201</f>
        <v>201</v>
      </c>
      <c r="GV17" s="363"/>
      <c r="GW17" s="363"/>
      <c r="GX17" s="363">
        <v>-612</v>
      </c>
      <c r="GY17" s="362">
        <f>SUM(GT17:GX17)</f>
        <v>27316</v>
      </c>
      <c r="GZ17" s="33"/>
      <c r="HA17" s="386">
        <f>2716+24266</f>
        <v>26982</v>
      </c>
      <c r="HB17" s="363">
        <v>165</v>
      </c>
      <c r="HC17" s="363"/>
      <c r="HD17" s="363"/>
      <c r="HE17" s="363">
        <v>-459</v>
      </c>
      <c r="HF17" s="362">
        <f>SUM(HA17:HE17)</f>
        <v>26688</v>
      </c>
      <c r="HG17" s="33"/>
      <c r="HH17" s="373">
        <v>1906</v>
      </c>
      <c r="HI17" s="363">
        <v>123</v>
      </c>
      <c r="HJ17" s="363"/>
      <c r="HK17" s="363"/>
      <c r="HL17" s="363">
        <v>-306</v>
      </c>
      <c r="HM17" s="362">
        <f>SUM(HH17:HL17)</f>
        <v>1723</v>
      </c>
      <c r="HN17" s="33"/>
      <c r="HO17" s="373">
        <f>ROUND(433549/1000,0)</f>
        <v>434</v>
      </c>
      <c r="HP17" s="363">
        <v>51</v>
      </c>
      <c r="HQ17" s="363"/>
      <c r="HR17" s="363"/>
      <c r="HS17" s="363">
        <v>-153</v>
      </c>
      <c r="HT17" s="362">
        <f>SUM(HO17:HS17)</f>
        <v>332</v>
      </c>
      <c r="HU17" s="33"/>
      <c r="HV17" s="364">
        <f>607+1033+21+714-8</f>
        <v>2367</v>
      </c>
      <c r="HW17" s="364">
        <f>190+40</f>
        <v>230</v>
      </c>
      <c r="HX17" s="364"/>
      <c r="HY17" s="364">
        <v>44</v>
      </c>
      <c r="HZ17" s="364">
        <f>-51*12-51*11.5</f>
        <v>-1198.5</v>
      </c>
      <c r="IA17" s="363">
        <f>SUM(HV17:HZ17)</f>
        <v>1442.5</v>
      </c>
      <c r="IB17" s="33"/>
      <c r="IC17" s="364">
        <v>1896</v>
      </c>
      <c r="ID17" s="364">
        <v>195</v>
      </c>
      <c r="IE17" s="364">
        <f>1-1</f>
        <v>0</v>
      </c>
      <c r="IF17" s="364">
        <v>44</v>
      </c>
      <c r="IG17" s="364">
        <v>-918</v>
      </c>
      <c r="IH17" s="363">
        <f>SUM(IC17:IG17)</f>
        <v>1217</v>
      </c>
      <c r="II17" s="127"/>
      <c r="IJ17" s="364">
        <v>1523</v>
      </c>
      <c r="IK17" s="364">
        <v>131</v>
      </c>
      <c r="IL17" s="364">
        <v>0</v>
      </c>
      <c r="IM17" s="364">
        <v>44</v>
      </c>
      <c r="IN17" s="364">
        <v>-612</v>
      </c>
      <c r="IO17" s="363">
        <v>1086</v>
      </c>
      <c r="IP17" s="127"/>
      <c r="IQ17" s="363">
        <v>1009</v>
      </c>
      <c r="IR17" s="363">
        <v>100</v>
      </c>
      <c r="IS17" s="363">
        <v>0</v>
      </c>
      <c r="IT17" s="363">
        <v>33</v>
      </c>
      <c r="IU17" s="363">
        <v>-306</v>
      </c>
      <c r="IV17" s="363">
        <f>SUM(IQ17:IU17)</f>
        <v>836</v>
      </c>
    </row>
    <row r="18" spans="1:256">
      <c r="A18" s="106"/>
      <c r="B18" s="106"/>
      <c r="C18" s="106"/>
      <c r="D18" s="106"/>
      <c r="E18" s="106"/>
      <c r="F18" s="357"/>
      <c r="G18" s="366"/>
      <c r="H18" s="366"/>
      <c r="I18" s="366"/>
      <c r="J18" s="366"/>
      <c r="K18" s="358"/>
      <c r="L18" s="33"/>
      <c r="M18" s="558"/>
      <c r="N18" s="477"/>
      <c r="O18" s="477"/>
      <c r="P18" s="477"/>
      <c r="Q18" s="477"/>
      <c r="R18" s="559"/>
      <c r="S18" s="366"/>
      <c r="T18" s="33"/>
      <c r="U18" s="33"/>
      <c r="V18" s="33"/>
      <c r="W18" s="33"/>
      <c r="X18" s="33"/>
      <c r="Y18" s="33"/>
      <c r="Z18" s="33"/>
      <c r="AA18" s="558"/>
      <c r="AB18" s="477"/>
      <c r="AC18" s="477"/>
      <c r="AD18" s="477"/>
      <c r="AE18" s="477"/>
      <c r="AF18" s="559"/>
      <c r="AG18" s="33"/>
      <c r="AH18" s="357"/>
      <c r="AI18" s="366"/>
      <c r="AJ18" s="366"/>
      <c r="AK18" s="366"/>
      <c r="AL18" s="366"/>
      <c r="AM18" s="358"/>
      <c r="AN18" s="33"/>
      <c r="AO18" s="357"/>
      <c r="AP18" s="366"/>
      <c r="AQ18" s="366"/>
      <c r="AR18" s="366"/>
      <c r="AS18" s="366"/>
      <c r="AT18" s="358"/>
      <c r="AU18" s="33"/>
      <c r="AV18" s="357"/>
      <c r="AW18" s="366"/>
      <c r="AX18" s="366"/>
      <c r="AY18" s="366"/>
      <c r="AZ18" s="366"/>
      <c r="BA18" s="358"/>
      <c r="BB18" s="33"/>
      <c r="BC18" s="357"/>
      <c r="BD18" s="366"/>
      <c r="BE18" s="366"/>
      <c r="BF18" s="366"/>
      <c r="BG18" s="366"/>
      <c r="BH18" s="358"/>
      <c r="BI18" s="33"/>
      <c r="BJ18" s="357"/>
      <c r="BK18" s="366"/>
      <c r="BL18" s="366"/>
      <c r="BM18" s="366"/>
      <c r="BN18" s="366"/>
      <c r="BO18" s="358"/>
      <c r="BP18" s="33"/>
      <c r="BQ18" s="357"/>
      <c r="BR18" s="366"/>
      <c r="BS18" s="366"/>
      <c r="BT18" s="366"/>
      <c r="BU18" s="366"/>
      <c r="BV18" s="358"/>
      <c r="BW18" s="33"/>
      <c r="BX18" s="357"/>
      <c r="BY18" s="366"/>
      <c r="BZ18" s="366"/>
      <c r="CA18" s="366"/>
      <c r="CB18" s="366"/>
      <c r="CC18" s="358"/>
      <c r="CD18" s="33"/>
      <c r="CE18" s="357"/>
      <c r="CF18" s="366"/>
      <c r="CG18" s="366"/>
      <c r="CH18" s="366"/>
      <c r="CI18" s="366"/>
      <c r="CJ18" s="358"/>
      <c r="CK18" s="33"/>
      <c r="CL18" s="357"/>
      <c r="CM18" s="366"/>
      <c r="CN18" s="366"/>
      <c r="CO18" s="366"/>
      <c r="CP18" s="366"/>
      <c r="CQ18" s="358"/>
      <c r="CR18" s="33"/>
      <c r="CS18" s="357"/>
      <c r="CT18" s="366"/>
      <c r="CU18" s="366"/>
      <c r="CV18" s="366"/>
      <c r="CW18" s="366"/>
      <c r="CX18" s="358"/>
      <c r="CY18" s="33"/>
      <c r="CZ18" s="357"/>
      <c r="DA18" s="366"/>
      <c r="DB18" s="366"/>
      <c r="DC18" s="366"/>
      <c r="DD18" s="366"/>
      <c r="DE18" s="358"/>
      <c r="DF18" s="33"/>
      <c r="DG18" s="357"/>
      <c r="DH18" s="366"/>
      <c r="DI18" s="366"/>
      <c r="DJ18" s="366"/>
      <c r="DK18" s="366"/>
      <c r="DL18" s="358"/>
      <c r="DM18" s="33"/>
      <c r="DN18" s="357"/>
      <c r="DO18" s="366"/>
      <c r="DP18" s="366"/>
      <c r="DQ18" s="366"/>
      <c r="DR18" s="366"/>
      <c r="DS18" s="358"/>
      <c r="DT18" s="33"/>
      <c r="DU18" s="357"/>
      <c r="DV18" s="366"/>
      <c r="DW18" s="366"/>
      <c r="DX18" s="366"/>
      <c r="DY18" s="366"/>
      <c r="DZ18" s="358"/>
      <c r="EA18" s="33"/>
      <c r="EB18" s="357"/>
      <c r="EC18" s="366"/>
      <c r="ED18" s="366"/>
      <c r="EE18" s="366"/>
      <c r="EF18" s="366"/>
      <c r="EG18" s="358"/>
      <c r="EH18" s="33"/>
      <c r="EI18" s="357"/>
      <c r="EJ18" s="366"/>
      <c r="EK18" s="366"/>
      <c r="EL18" s="366"/>
      <c r="EM18" s="366"/>
      <c r="EN18" s="358"/>
      <c r="EO18" s="33"/>
      <c r="EP18" s="357"/>
      <c r="EQ18" s="366"/>
      <c r="ER18" s="366"/>
      <c r="ES18" s="366"/>
      <c r="ET18" s="366"/>
      <c r="EU18" s="358"/>
      <c r="EV18" s="33"/>
      <c r="EW18" s="357"/>
      <c r="EX18" s="366"/>
      <c r="EY18" s="366"/>
      <c r="EZ18" s="366"/>
      <c r="FA18" s="366"/>
      <c r="FB18" s="358"/>
      <c r="FC18" s="33"/>
      <c r="FD18" s="357"/>
      <c r="FE18" s="366"/>
      <c r="FF18" s="366"/>
      <c r="FG18" s="366"/>
      <c r="FH18" s="366"/>
      <c r="FI18" s="358"/>
      <c r="FJ18" s="33"/>
      <c r="FK18" s="357"/>
      <c r="FL18" s="366"/>
      <c r="FM18" s="366"/>
      <c r="FN18" s="366"/>
      <c r="FO18" s="366"/>
      <c r="FP18" s="358"/>
      <c r="FQ18" s="33"/>
      <c r="FR18" s="357"/>
      <c r="FS18" s="366"/>
      <c r="FT18" s="366"/>
      <c r="FU18" s="366"/>
      <c r="FV18" s="366"/>
      <c r="FW18" s="358"/>
      <c r="FX18" s="33"/>
      <c r="FY18" s="357"/>
      <c r="FZ18" s="366"/>
      <c r="GA18" s="366"/>
      <c r="GB18" s="366"/>
      <c r="GC18" s="366"/>
      <c r="GD18" s="358"/>
      <c r="GE18" s="33"/>
      <c r="GF18" s="357"/>
      <c r="GG18" s="366"/>
      <c r="GH18" s="366"/>
      <c r="GI18" s="366"/>
      <c r="GJ18" s="366"/>
      <c r="GK18" s="358"/>
      <c r="GL18" s="33"/>
      <c r="GM18" s="357"/>
      <c r="GN18" s="366"/>
      <c r="GO18" s="366"/>
      <c r="GP18" s="366"/>
      <c r="GQ18" s="366"/>
      <c r="GR18" s="358"/>
      <c r="GS18" s="33"/>
      <c r="GT18" s="357"/>
      <c r="GU18" s="366"/>
      <c r="GV18" s="366"/>
      <c r="GW18" s="366"/>
      <c r="GX18" s="366"/>
      <c r="GY18" s="358"/>
      <c r="GZ18" s="33"/>
      <c r="HA18" s="357"/>
      <c r="HB18" s="366"/>
      <c r="HC18" s="366"/>
      <c r="HD18" s="366"/>
      <c r="HE18" s="366"/>
      <c r="HF18" s="358"/>
      <c r="HG18" s="33"/>
      <c r="HH18" s="357"/>
      <c r="HI18" s="366"/>
      <c r="HJ18" s="366"/>
      <c r="HK18" s="366"/>
      <c r="HL18" s="366"/>
      <c r="HM18" s="358"/>
      <c r="HN18" s="33"/>
      <c r="HO18" s="357"/>
      <c r="HP18" s="366"/>
      <c r="HQ18" s="366"/>
      <c r="HR18" s="366"/>
      <c r="HS18" s="366"/>
      <c r="HT18" s="358"/>
      <c r="HU18" s="33"/>
      <c r="HV18" s="365"/>
      <c r="HW18" s="33"/>
      <c r="HX18" s="33"/>
      <c r="HY18" s="33"/>
      <c r="HZ18" s="33"/>
      <c r="IA18" s="33"/>
      <c r="IB18" s="33"/>
      <c r="IC18" s="365"/>
      <c r="ID18" s="33"/>
      <c r="IE18" s="33"/>
      <c r="IF18" s="33"/>
      <c r="IG18" s="33"/>
      <c r="IH18" s="33"/>
      <c r="II18" s="127"/>
      <c r="IJ18" s="365"/>
      <c r="IK18" s="33"/>
      <c r="IL18" s="33"/>
      <c r="IM18" s="33"/>
      <c r="IN18" s="33"/>
      <c r="IO18" s="33"/>
      <c r="IP18" s="127"/>
      <c r="IQ18" s="365"/>
      <c r="IR18" s="33"/>
      <c r="IS18" s="33"/>
      <c r="IT18" s="33"/>
      <c r="IU18" s="33"/>
      <c r="IV18" s="33"/>
    </row>
    <row r="19" spans="1:256">
      <c r="A19" s="106" t="s">
        <v>342</v>
      </c>
      <c r="B19" s="106"/>
      <c r="C19" s="106"/>
      <c r="D19" s="106"/>
      <c r="E19" s="106"/>
      <c r="F19" s="374">
        <f>SUM(F10:F17)</f>
        <v>4400</v>
      </c>
      <c r="G19" s="375">
        <f>SUM(G10:G17)</f>
        <v>-584</v>
      </c>
      <c r="H19" s="366"/>
      <c r="I19" s="375">
        <f>SUM(I10:I17)</f>
        <v>0</v>
      </c>
      <c r="J19" s="375">
        <f>SUM(J10:J17)</f>
        <v>-88</v>
      </c>
      <c r="K19" s="358">
        <f>SUM(K10:K17)</f>
        <v>3728</v>
      </c>
      <c r="L19" s="33"/>
      <c r="M19" s="555">
        <f>SUM(M10:M17)</f>
        <v>0</v>
      </c>
      <c r="N19" s="556">
        <f>SUM(N10:N17)</f>
        <v>0</v>
      </c>
      <c r="O19" s="477"/>
      <c r="P19" s="556">
        <f>SUM(P10:P17)</f>
        <v>0</v>
      </c>
      <c r="Q19" s="556">
        <f>SUM(Q10:Q17)</f>
        <v>0</v>
      </c>
      <c r="R19" s="559">
        <f>SUM(R10:R17)</f>
        <v>0</v>
      </c>
      <c r="S19" s="366"/>
      <c r="T19" s="118">
        <f t="shared" ref="T19:Y19" si="6">SUM(T10:T17)</f>
        <v>4400</v>
      </c>
      <c r="U19" s="118">
        <f t="shared" si="6"/>
        <v>-584</v>
      </c>
      <c r="V19" s="118">
        <f t="shared" si="6"/>
        <v>0</v>
      </c>
      <c r="W19" s="118">
        <f t="shared" si="6"/>
        <v>0</v>
      </c>
      <c r="X19" s="118">
        <f t="shared" si="6"/>
        <v>-88</v>
      </c>
      <c r="Y19" s="33">
        <f t="shared" si="6"/>
        <v>3728</v>
      </c>
      <c r="Z19" s="33"/>
      <c r="AA19" s="555">
        <f>SUM(AA10:AA17)</f>
        <v>7410</v>
      </c>
      <c r="AB19" s="556">
        <f>SUM(AB10:AB17)</f>
        <v>1005</v>
      </c>
      <c r="AC19" s="477"/>
      <c r="AD19" s="556">
        <f>SUM(AD10:AD17)</f>
        <v>0</v>
      </c>
      <c r="AE19" s="556">
        <f>SUM(AE10:AE17)</f>
        <v>-84</v>
      </c>
      <c r="AF19" s="559">
        <f>SUM(AF10:AF17)</f>
        <v>8331</v>
      </c>
      <c r="AG19" s="33"/>
      <c r="AH19" s="374">
        <f>SUM(AH10:AH17)</f>
        <v>3727</v>
      </c>
      <c r="AI19" s="375">
        <f>SUM(AI10:AI17)</f>
        <v>306</v>
      </c>
      <c r="AJ19" s="366"/>
      <c r="AK19" s="375">
        <f>SUM(AK10:AK17)</f>
        <v>0</v>
      </c>
      <c r="AL19" s="375">
        <f>SUM(AL10:AL17)</f>
        <v>-315</v>
      </c>
      <c r="AM19" s="358">
        <f>SUM(AM10:AM17)</f>
        <v>3718</v>
      </c>
      <c r="AN19" s="33"/>
      <c r="AO19" s="374">
        <f>SUM(AO10:AO17)</f>
        <v>3086</v>
      </c>
      <c r="AP19" s="375">
        <f>SUM(AP10:AP17)</f>
        <v>-26</v>
      </c>
      <c r="AQ19" s="366"/>
      <c r="AR19" s="375">
        <f>SUM(AR10:AR17)</f>
        <v>0</v>
      </c>
      <c r="AS19" s="375">
        <f>SUM(AS10:AS17)</f>
        <v>69</v>
      </c>
      <c r="AT19" s="358">
        <f>SUM(AT10:AT17)</f>
        <v>3129</v>
      </c>
      <c r="AU19" s="33"/>
      <c r="AV19" s="374">
        <f>SUM(AV10:AV17)</f>
        <v>2163</v>
      </c>
      <c r="AW19" s="375">
        <f>SUM(AW10:AW17)</f>
        <v>-146</v>
      </c>
      <c r="AX19" s="366"/>
      <c r="AY19" s="375">
        <f>SUM(AY10:AY17)</f>
        <v>0</v>
      </c>
      <c r="AZ19" s="375">
        <f>SUM(AZ10:AZ17)</f>
        <v>102</v>
      </c>
      <c r="BA19" s="358">
        <f>SUM(BA10:BA17)</f>
        <v>2119</v>
      </c>
      <c r="BB19" s="33"/>
      <c r="BC19" s="374">
        <f>SUM(BC10:BC17)</f>
        <v>6295</v>
      </c>
      <c r="BD19" s="375">
        <f>SUM(BD10:BD17)</f>
        <v>1350</v>
      </c>
      <c r="BE19" s="366"/>
      <c r="BF19" s="375">
        <f>SUM(BF10:BF17)</f>
        <v>0</v>
      </c>
      <c r="BG19" s="375">
        <f>SUM(BG10:BG17)</f>
        <v>-472</v>
      </c>
      <c r="BH19" s="358">
        <f>SUM(BH10:BH17)</f>
        <v>7168</v>
      </c>
      <c r="BI19" s="33"/>
      <c r="BJ19" s="374">
        <f>SUM(BJ10:BJ17)</f>
        <v>4349</v>
      </c>
      <c r="BK19" s="375">
        <f>SUM(BK10:BK17)</f>
        <v>1359</v>
      </c>
      <c r="BL19" s="366"/>
      <c r="BM19" s="375">
        <f>SUM(BM10:BM17)</f>
        <v>0</v>
      </c>
      <c r="BN19" s="375">
        <f>SUM(BN10:BN17)</f>
        <v>-834</v>
      </c>
      <c r="BO19" s="358">
        <f>SUM(BO10:BO17)</f>
        <v>4874</v>
      </c>
      <c r="BP19" s="33"/>
      <c r="BQ19" s="374">
        <f>SUM(BQ10:BQ17)</f>
        <v>1827</v>
      </c>
      <c r="BR19" s="375">
        <f>SUM(BR10:BR17)</f>
        <v>1722</v>
      </c>
      <c r="BS19" s="366"/>
      <c r="BT19" s="375">
        <f>SUM(BT10:BT17)</f>
        <v>0</v>
      </c>
      <c r="BU19" s="375">
        <f>SUM(BU10:BU17)</f>
        <v>-598</v>
      </c>
      <c r="BV19" s="358">
        <f>SUM(BV10:BV17)</f>
        <v>2952</v>
      </c>
      <c r="BW19" s="33"/>
      <c r="BX19" s="374">
        <f>SUM(BX10:BX17)</f>
        <v>-112</v>
      </c>
      <c r="BY19" s="375">
        <f>SUM(BY10:BY17)</f>
        <v>1145</v>
      </c>
      <c r="BZ19" s="366"/>
      <c r="CA19" s="375">
        <f>SUM(CA10:CA17)</f>
        <v>0</v>
      </c>
      <c r="CB19" s="375">
        <f>SUM(CB10:CB17)</f>
        <v>-668</v>
      </c>
      <c r="CC19" s="358">
        <f>SUM(CC10:CC17)</f>
        <v>364</v>
      </c>
      <c r="CD19" s="33"/>
      <c r="CE19" s="374">
        <f>SUM(CE10:CE17)</f>
        <v>-2596</v>
      </c>
      <c r="CF19" s="375">
        <f>SUM(CF10:CF17)</f>
        <v>483</v>
      </c>
      <c r="CG19" s="366"/>
      <c r="CH19" s="375">
        <f>SUM(CH10:CH17)</f>
        <v>361</v>
      </c>
      <c r="CI19" s="375">
        <f>SUM(CI10:CI17)</f>
        <v>1030</v>
      </c>
      <c r="CJ19" s="358">
        <f>SUM(CJ10:CJ17)</f>
        <v>-721</v>
      </c>
      <c r="CK19" s="33"/>
      <c r="CL19" s="374">
        <f>SUM(CL10:CL17)</f>
        <v>6930</v>
      </c>
      <c r="CM19" s="375">
        <f>SUM(CM10:CM17)</f>
        <v>1714</v>
      </c>
      <c r="CN19" s="366"/>
      <c r="CO19" s="375">
        <f>SUM(CO10:CO17)</f>
        <v>361</v>
      </c>
      <c r="CP19" s="375">
        <f>SUM(CP10:CP17)</f>
        <v>1030</v>
      </c>
      <c r="CQ19" s="358">
        <f>SUM(CQ10:CQ17)</f>
        <v>10191</v>
      </c>
      <c r="CR19" s="33"/>
      <c r="CS19" s="374">
        <f>SUM(CS10:CS17)</f>
        <v>9188</v>
      </c>
      <c r="CT19" s="375">
        <f>SUM(CT10:CT17)</f>
        <v>2786</v>
      </c>
      <c r="CU19" s="366"/>
      <c r="CV19" s="375">
        <f>SUM(CV10:CV17)</f>
        <v>361</v>
      </c>
      <c r="CW19" s="375">
        <f>SUM(CW10:CW17)</f>
        <v>26</v>
      </c>
      <c r="CX19" s="358">
        <f>SUM(CX10:CX17)</f>
        <v>12361</v>
      </c>
      <c r="CY19" s="33"/>
      <c r="CZ19" s="374">
        <f>SUM(CZ10:CZ17)</f>
        <v>5781</v>
      </c>
      <c r="DA19" s="375">
        <f>SUM(DA10:DA17)</f>
        <v>1768</v>
      </c>
      <c r="DB19" s="366"/>
      <c r="DC19" s="375">
        <f>SUM(DC10:DC17)</f>
        <v>361</v>
      </c>
      <c r="DD19" s="375">
        <f>SUM(DD10:DD17)</f>
        <v>157</v>
      </c>
      <c r="DE19" s="358">
        <f>SUM(DE10:DE17)</f>
        <v>8067</v>
      </c>
      <c r="DF19" s="33"/>
      <c r="DG19" s="374">
        <f>SUM(DG10:DG17)</f>
        <v>21969</v>
      </c>
      <c r="DH19" s="375">
        <f>SUM(DH10:DH17)</f>
        <v>2953</v>
      </c>
      <c r="DI19" s="366"/>
      <c r="DJ19" s="375">
        <f>SUM(DJ10:DJ17)</f>
        <v>-361</v>
      </c>
      <c r="DK19" s="375">
        <f>SUM(DK10:DK17)</f>
        <v>308</v>
      </c>
      <c r="DL19" s="358">
        <f>SUM(DL10:DL17)</f>
        <v>24869</v>
      </c>
      <c r="DM19" s="33"/>
      <c r="DN19" s="374">
        <f>SUM(DN10:DN17)</f>
        <v>17535</v>
      </c>
      <c r="DO19" s="375">
        <f>SUM(DO10:DO17)</f>
        <v>1793</v>
      </c>
      <c r="DP19" s="366"/>
      <c r="DQ19" s="366"/>
      <c r="DR19" s="375">
        <f>SUM(DR10:DR17)</f>
        <v>71</v>
      </c>
      <c r="DS19" s="358">
        <f>SUM(DS10:DS17)</f>
        <v>19399</v>
      </c>
      <c r="DT19" s="33"/>
      <c r="DU19" s="374">
        <f>SUM(DU10:DU17)</f>
        <v>14246</v>
      </c>
      <c r="DV19" s="375">
        <f>SUM(DV10:DV17)</f>
        <v>2061</v>
      </c>
      <c r="DW19" s="366"/>
      <c r="DX19" s="366"/>
      <c r="DY19" s="375">
        <f>SUM(DY10:DY17)</f>
        <v>-115</v>
      </c>
      <c r="DZ19" s="358">
        <f>SUM(DZ10:DZ17)</f>
        <v>16192</v>
      </c>
      <c r="EA19" s="33"/>
      <c r="EB19" s="374">
        <f>SUM(EB10:EB17)</f>
        <v>8115</v>
      </c>
      <c r="EC19" s="375">
        <f>SUM(EC10:EC17)</f>
        <v>1634</v>
      </c>
      <c r="ED19" s="366"/>
      <c r="EE19" s="366"/>
      <c r="EF19" s="375">
        <f>SUM(EF10:EF17)</f>
        <v>-22</v>
      </c>
      <c r="EG19" s="358">
        <f>SUM(EG10:EG17)</f>
        <v>9727</v>
      </c>
      <c r="EH19" s="33"/>
      <c r="EI19" s="374">
        <f>SUM(EI10:EI17)</f>
        <v>3458</v>
      </c>
      <c r="EJ19" s="375">
        <f>SUM(EJ10:EJ17)</f>
        <v>431</v>
      </c>
      <c r="EK19" s="366"/>
      <c r="EL19" s="366"/>
      <c r="EM19" s="375">
        <f>SUM(EM10:EM17)</f>
        <v>-344</v>
      </c>
      <c r="EN19" s="358">
        <f>SUM(EN10:EN17)</f>
        <v>3545</v>
      </c>
      <c r="EO19" s="33"/>
      <c r="EP19" s="374">
        <f>SUM(EP10:EP17)</f>
        <v>20419</v>
      </c>
      <c r="EQ19" s="375">
        <f>SUM(EQ10:EQ17)</f>
        <v>5066</v>
      </c>
      <c r="ER19" s="366"/>
      <c r="ES19" s="366"/>
      <c r="ET19" s="375">
        <f>SUM(ET10:ET17)</f>
        <v>-7719</v>
      </c>
      <c r="EU19" s="358">
        <f>SUM(EU10:EU17)</f>
        <v>17766</v>
      </c>
      <c r="EV19" s="33"/>
      <c r="EW19" s="374">
        <f>SUM(EW10:EW17)</f>
        <v>11834</v>
      </c>
      <c r="EX19" s="375">
        <f>SUM(EX10:EX17)</f>
        <v>4143</v>
      </c>
      <c r="EY19" s="366"/>
      <c r="EZ19" s="366"/>
      <c r="FA19" s="375">
        <f>SUM(FA10:FA17)</f>
        <v>-82</v>
      </c>
      <c r="FB19" s="358">
        <f>SUM(FB10:FB17)</f>
        <v>15895</v>
      </c>
      <c r="FC19" s="33"/>
      <c r="FD19" s="374">
        <f>SUM(FD10:FD17)</f>
        <v>8539</v>
      </c>
      <c r="FE19" s="375">
        <f>SUM(FE10:FE17)</f>
        <v>4197</v>
      </c>
      <c r="FF19" s="366"/>
      <c r="FG19" s="366"/>
      <c r="FH19" s="375">
        <f>SUM(FH10:FH17)</f>
        <v>12</v>
      </c>
      <c r="FI19" s="358">
        <f>SUM(FI10:FI17)</f>
        <v>12748</v>
      </c>
      <c r="FJ19" s="33"/>
      <c r="FK19" s="374">
        <f>SUM(FK10:FK17)</f>
        <v>4873</v>
      </c>
      <c r="FL19" s="375">
        <f>SUM(FL10:FL17)</f>
        <v>2613</v>
      </c>
      <c r="FM19" s="366"/>
      <c r="FN19" s="366"/>
      <c r="FO19" s="375">
        <f>SUM(FO10:FO17)</f>
        <v>-627</v>
      </c>
      <c r="FP19" s="358">
        <f>SUM(FP10:FP17)</f>
        <v>6859</v>
      </c>
      <c r="FQ19" s="33"/>
      <c r="FR19" s="374">
        <f>SUM(FR10:FR17)</f>
        <v>14781</v>
      </c>
      <c r="FS19" s="375">
        <f>SUM(FS10:FS17)</f>
        <v>7679</v>
      </c>
      <c r="FT19" s="366"/>
      <c r="FU19" s="366"/>
      <c r="FV19" s="375">
        <f>SUM(FV10:FV17)</f>
        <v>203</v>
      </c>
      <c r="FW19" s="358">
        <f>SUM(FW10:FW17)</f>
        <v>22663</v>
      </c>
      <c r="FX19" s="33"/>
      <c r="FY19" s="374">
        <f>SUM(FY10:FY17)</f>
        <v>11517</v>
      </c>
      <c r="FZ19" s="375">
        <f>SUM(FZ10:FZ17)</f>
        <v>6186</v>
      </c>
      <c r="GA19" s="366"/>
      <c r="GB19" s="366"/>
      <c r="GC19" s="375">
        <f>SUM(GC10:GC17)</f>
        <v>577</v>
      </c>
      <c r="GD19" s="358">
        <f>SUM(GD10:GD17)</f>
        <v>18280</v>
      </c>
      <c r="GE19" s="33"/>
      <c r="GF19" s="374">
        <f>SUM(GF10:GF17)</f>
        <v>7175</v>
      </c>
      <c r="GG19" s="375">
        <f>SUM(GG10:GG17)</f>
        <v>5356</v>
      </c>
      <c r="GH19" s="366"/>
      <c r="GI19" s="366"/>
      <c r="GJ19" s="375">
        <f>SUM(GJ10:GJ17)</f>
        <v>387</v>
      </c>
      <c r="GK19" s="358">
        <f>SUM(GK10:GK17)</f>
        <v>12918</v>
      </c>
      <c r="GL19" s="33"/>
      <c r="GM19" s="374">
        <f>SUM(GM10:GM17)</f>
        <v>2962</v>
      </c>
      <c r="GN19" s="375">
        <f>SUM(GN10:GN17)</f>
        <v>2472</v>
      </c>
      <c r="GO19" s="366"/>
      <c r="GP19" s="366"/>
      <c r="GQ19" s="375">
        <f>SUM(GQ10:GQ17)</f>
        <v>85</v>
      </c>
      <c r="GR19" s="358">
        <f>SUM(GR10:GR17)</f>
        <v>5519</v>
      </c>
      <c r="GS19" s="33"/>
      <c r="GT19" s="374">
        <f>SUM(GT10:GT17)</f>
        <v>37567</v>
      </c>
      <c r="GU19" s="375">
        <f>SUM(GU10:GU17)</f>
        <v>6937</v>
      </c>
      <c r="GV19" s="366"/>
      <c r="GW19" s="366"/>
      <c r="GX19" s="375">
        <f>SUM(GX10:GX17)</f>
        <v>-436</v>
      </c>
      <c r="GY19" s="358">
        <f>SUM(GY10:GY17)</f>
        <v>44068</v>
      </c>
      <c r="GZ19" s="33"/>
      <c r="HA19" s="374">
        <f>SUM(HA10:HA17)</f>
        <v>34813</v>
      </c>
      <c r="HB19" s="375">
        <f>SUM(HB10:HB17)</f>
        <v>5477</v>
      </c>
      <c r="HC19" s="366"/>
      <c r="HD19" s="366"/>
      <c r="HE19" s="375">
        <f>SUM(HE10:HE17)</f>
        <v>-165</v>
      </c>
      <c r="HF19" s="358">
        <f>SUM(HF10:HF17)</f>
        <v>40125</v>
      </c>
      <c r="HG19" s="33"/>
      <c r="HH19" s="374">
        <f>SUM(HH10:HH17)</f>
        <v>6537</v>
      </c>
      <c r="HI19" s="375">
        <f>SUM(HI10:HI17)</f>
        <v>4253</v>
      </c>
      <c r="HJ19" s="366"/>
      <c r="HK19" s="366"/>
      <c r="HL19" s="375">
        <f>SUM(HL10:HL17)</f>
        <v>-31</v>
      </c>
      <c r="HM19" s="358">
        <f>SUM(HM10:HM17)</f>
        <v>10759</v>
      </c>
      <c r="HN19" s="33"/>
      <c r="HO19" s="374">
        <f>SUM(HO10:HO17)</f>
        <v>2320</v>
      </c>
      <c r="HP19" s="375">
        <f>SUM(HP10:HP17)</f>
        <v>2229</v>
      </c>
      <c r="HQ19" s="366"/>
      <c r="HR19" s="366"/>
      <c r="HS19" s="375">
        <f>SUM(HS10:HS17)</f>
        <v>27</v>
      </c>
      <c r="HT19" s="358">
        <f>SUM(HT10:HT17)</f>
        <v>4576</v>
      </c>
      <c r="HU19" s="33"/>
      <c r="HV19" s="365">
        <f t="shared" ref="HV19:IA19" si="7">SUM(HV10:HV17)</f>
        <v>-7428</v>
      </c>
      <c r="HW19" s="365">
        <f t="shared" si="7"/>
        <v>3347</v>
      </c>
      <c r="HX19" s="365">
        <f t="shared" si="7"/>
        <v>-3490</v>
      </c>
      <c r="HY19" s="365">
        <f t="shared" si="7"/>
        <v>43</v>
      </c>
      <c r="HZ19" s="365">
        <f t="shared" si="7"/>
        <v>3515</v>
      </c>
      <c r="IA19" s="33">
        <f t="shared" si="7"/>
        <v>-4013</v>
      </c>
      <c r="IB19" s="33"/>
      <c r="IC19" s="365">
        <f t="shared" ref="IC19:IH19" si="8">SUM(IC10:IC17)</f>
        <v>-7264</v>
      </c>
      <c r="ID19" s="365">
        <f t="shared" si="8"/>
        <v>2742</v>
      </c>
      <c r="IE19" s="365">
        <f t="shared" si="8"/>
        <v>-2108</v>
      </c>
      <c r="IF19" s="365">
        <f t="shared" si="8"/>
        <v>43</v>
      </c>
      <c r="IG19" s="365">
        <f t="shared" si="8"/>
        <v>267</v>
      </c>
      <c r="IH19" s="33">
        <f t="shared" si="8"/>
        <v>-6320</v>
      </c>
      <c r="II19" s="127"/>
      <c r="IJ19" s="365">
        <v>4196</v>
      </c>
      <c r="IK19" s="365">
        <v>2826</v>
      </c>
      <c r="IL19" s="365">
        <v>-696</v>
      </c>
      <c r="IM19" s="365">
        <v>43</v>
      </c>
      <c r="IN19" s="365">
        <v>141</v>
      </c>
      <c r="IO19" s="33">
        <f>SUM(IO10:IO17)</f>
        <v>6510</v>
      </c>
      <c r="IP19" s="127"/>
      <c r="IQ19" s="365">
        <f t="shared" ref="IQ19:IV19" si="9">SUM(IQ10:IQ17)</f>
        <v>1847</v>
      </c>
      <c r="IR19" s="365">
        <f t="shared" si="9"/>
        <v>1307</v>
      </c>
      <c r="IS19" s="365">
        <f t="shared" si="9"/>
        <v>-182</v>
      </c>
      <c r="IT19" s="365">
        <f t="shared" si="9"/>
        <v>59</v>
      </c>
      <c r="IU19" s="365">
        <f t="shared" si="9"/>
        <v>-56</v>
      </c>
      <c r="IV19" s="33">
        <f t="shared" si="9"/>
        <v>2975</v>
      </c>
    </row>
    <row r="20" spans="1:256">
      <c r="A20" s="30"/>
      <c r="B20" s="30"/>
      <c r="C20" s="30"/>
      <c r="D20" s="30"/>
      <c r="E20" s="30"/>
      <c r="F20" s="357"/>
      <c r="G20" s="366"/>
      <c r="H20" s="366"/>
      <c r="I20" s="366"/>
      <c r="J20" s="366"/>
      <c r="K20" s="358"/>
      <c r="L20" s="33"/>
      <c r="M20" s="558"/>
      <c r="N20" s="477"/>
      <c r="O20" s="477"/>
      <c r="P20" s="477"/>
      <c r="Q20" s="477"/>
      <c r="R20" s="559"/>
      <c r="S20" s="366"/>
      <c r="T20" s="33"/>
      <c r="U20" s="33"/>
      <c r="V20" s="33"/>
      <c r="W20" s="33"/>
      <c r="X20" s="33"/>
      <c r="Y20" s="33"/>
      <c r="Z20" s="33"/>
      <c r="AA20" s="558"/>
      <c r="AB20" s="477"/>
      <c r="AC20" s="477"/>
      <c r="AD20" s="477"/>
      <c r="AE20" s="477"/>
      <c r="AF20" s="559"/>
      <c r="AG20" s="33"/>
      <c r="AH20" s="357"/>
      <c r="AI20" s="366"/>
      <c r="AJ20" s="366"/>
      <c r="AK20" s="366"/>
      <c r="AL20" s="366"/>
      <c r="AM20" s="358"/>
      <c r="AN20" s="33"/>
      <c r="AO20" s="357"/>
      <c r="AP20" s="366"/>
      <c r="AQ20" s="366"/>
      <c r="AR20" s="366"/>
      <c r="AS20" s="366"/>
      <c r="AT20" s="358"/>
      <c r="AU20" s="33"/>
      <c r="AV20" s="357"/>
      <c r="AW20" s="366"/>
      <c r="AX20" s="366"/>
      <c r="AY20" s="366"/>
      <c r="AZ20" s="366"/>
      <c r="BA20" s="358"/>
      <c r="BB20" s="33"/>
      <c r="BC20" s="357"/>
      <c r="BD20" s="366"/>
      <c r="BE20" s="366"/>
      <c r="BF20" s="366"/>
      <c r="BG20" s="366"/>
      <c r="BH20" s="358"/>
      <c r="BI20" s="33"/>
      <c r="BJ20" s="357"/>
      <c r="BK20" s="366"/>
      <c r="BL20" s="366"/>
      <c r="BM20" s="366"/>
      <c r="BN20" s="366"/>
      <c r="BO20" s="358"/>
      <c r="BP20" s="33"/>
      <c r="BQ20" s="357"/>
      <c r="BR20" s="366"/>
      <c r="BS20" s="366"/>
      <c r="BT20" s="366"/>
      <c r="BU20" s="366"/>
      <c r="BV20" s="358"/>
      <c r="BW20" s="33"/>
      <c r="BX20" s="357"/>
      <c r="BY20" s="366"/>
      <c r="BZ20" s="366"/>
      <c r="CA20" s="366"/>
      <c r="CB20" s="366"/>
      <c r="CC20" s="358"/>
      <c r="CD20" s="33"/>
      <c r="CE20" s="357"/>
      <c r="CF20" s="366"/>
      <c r="CG20" s="366"/>
      <c r="CH20" s="366"/>
      <c r="CI20" s="366"/>
      <c r="CJ20" s="358"/>
      <c r="CK20" s="33"/>
      <c r="CL20" s="357"/>
      <c r="CM20" s="366"/>
      <c r="CN20" s="366"/>
      <c r="CO20" s="366"/>
      <c r="CP20" s="366"/>
      <c r="CQ20" s="358"/>
      <c r="CR20" s="33"/>
      <c r="CS20" s="357"/>
      <c r="CT20" s="366"/>
      <c r="CU20" s="366"/>
      <c r="CV20" s="366"/>
      <c r="CW20" s="366"/>
      <c r="CX20" s="358"/>
      <c r="CY20" s="33"/>
      <c r="CZ20" s="357"/>
      <c r="DA20" s="366"/>
      <c r="DB20" s="366"/>
      <c r="DC20" s="366"/>
      <c r="DD20" s="366"/>
      <c r="DE20" s="358"/>
      <c r="DF20" s="33"/>
      <c r="DG20" s="357"/>
      <c r="DH20" s="366"/>
      <c r="DI20" s="366"/>
      <c r="DJ20" s="366"/>
      <c r="DK20" s="366"/>
      <c r="DL20" s="358"/>
      <c r="DM20" s="33"/>
      <c r="DN20" s="357"/>
      <c r="DO20" s="366"/>
      <c r="DP20" s="366"/>
      <c r="DQ20" s="366"/>
      <c r="DR20" s="366"/>
      <c r="DS20" s="358"/>
      <c r="DT20" s="33"/>
      <c r="DU20" s="357"/>
      <c r="DV20" s="366"/>
      <c r="DW20" s="366"/>
      <c r="DX20" s="366"/>
      <c r="DY20" s="366"/>
      <c r="DZ20" s="358"/>
      <c r="EA20" s="33"/>
      <c r="EB20" s="357"/>
      <c r="EC20" s="366"/>
      <c r="ED20" s="366"/>
      <c r="EE20" s="366"/>
      <c r="EF20" s="366"/>
      <c r="EG20" s="358"/>
      <c r="EH20" s="33"/>
      <c r="EI20" s="357"/>
      <c r="EJ20" s="366"/>
      <c r="EK20" s="366"/>
      <c r="EL20" s="366"/>
      <c r="EM20" s="366"/>
      <c r="EN20" s="358"/>
      <c r="EO20" s="33"/>
      <c r="EP20" s="357"/>
      <c r="EQ20" s="366"/>
      <c r="ER20" s="366"/>
      <c r="ES20" s="366"/>
      <c r="ET20" s="366"/>
      <c r="EU20" s="358"/>
      <c r="EV20" s="33"/>
      <c r="EW20" s="357"/>
      <c r="EX20" s="366"/>
      <c r="EY20" s="366"/>
      <c r="EZ20" s="366"/>
      <c r="FA20" s="366"/>
      <c r="FB20" s="358"/>
      <c r="FC20" s="33"/>
      <c r="FD20" s="357"/>
      <c r="FE20" s="366"/>
      <c r="FF20" s="366"/>
      <c r="FG20" s="366"/>
      <c r="FH20" s="366"/>
      <c r="FI20" s="358"/>
      <c r="FJ20" s="33"/>
      <c r="FK20" s="357"/>
      <c r="FL20" s="366"/>
      <c r="FM20" s="366"/>
      <c r="FN20" s="366"/>
      <c r="FO20" s="366"/>
      <c r="FP20" s="358"/>
      <c r="FQ20" s="33"/>
      <c r="FR20" s="357"/>
      <c r="FS20" s="366"/>
      <c r="FT20" s="366"/>
      <c r="FU20" s="366"/>
      <c r="FV20" s="366"/>
      <c r="FW20" s="358"/>
      <c r="FX20" s="33"/>
      <c r="FY20" s="357"/>
      <c r="FZ20" s="366"/>
      <c r="GA20" s="366"/>
      <c r="GB20" s="366"/>
      <c r="GC20" s="366"/>
      <c r="GD20" s="358"/>
      <c r="GE20" s="33"/>
      <c r="GF20" s="357"/>
      <c r="GG20" s="366"/>
      <c r="GH20" s="366"/>
      <c r="GI20" s="366"/>
      <c r="GJ20" s="366"/>
      <c r="GK20" s="358"/>
      <c r="GL20" s="33"/>
      <c r="GM20" s="357"/>
      <c r="GN20" s="366"/>
      <c r="GO20" s="366"/>
      <c r="GP20" s="366"/>
      <c r="GQ20" s="366"/>
      <c r="GR20" s="358"/>
      <c r="GS20" s="33"/>
      <c r="GT20" s="357"/>
      <c r="GU20" s="366"/>
      <c r="GV20" s="366"/>
      <c r="GW20" s="366"/>
      <c r="GX20" s="366"/>
      <c r="GY20" s="358"/>
      <c r="GZ20" s="33"/>
      <c r="HA20" s="357"/>
      <c r="HB20" s="366"/>
      <c r="HC20" s="366"/>
      <c r="HD20" s="366"/>
      <c r="HE20" s="366"/>
      <c r="HF20" s="358"/>
      <c r="HG20" s="33"/>
      <c r="HH20" s="357"/>
      <c r="HI20" s="366"/>
      <c r="HJ20" s="366"/>
      <c r="HK20" s="366"/>
      <c r="HL20" s="366"/>
      <c r="HM20" s="358"/>
      <c r="HN20" s="33"/>
      <c r="HO20" s="357"/>
      <c r="HP20" s="366"/>
      <c r="HQ20" s="366"/>
      <c r="HR20" s="366"/>
      <c r="HS20" s="366"/>
      <c r="HT20" s="358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127"/>
      <c r="IJ20" s="33"/>
      <c r="IK20" s="33"/>
      <c r="IL20" s="33"/>
      <c r="IM20" s="33"/>
      <c r="IN20" s="33"/>
      <c r="IO20" s="33"/>
      <c r="IP20" s="127"/>
      <c r="IQ20" s="33"/>
      <c r="IR20" s="33"/>
      <c r="IS20" s="33"/>
      <c r="IT20" s="33"/>
      <c r="IU20" s="33"/>
      <c r="IV20" s="33"/>
    </row>
    <row r="21" spans="1:256">
      <c r="A21" s="30" t="s">
        <v>343</v>
      </c>
      <c r="B21" s="30"/>
      <c r="C21" s="30"/>
      <c r="D21" s="30"/>
      <c r="E21" s="30"/>
      <c r="F21" s="374">
        <v>-82</v>
      </c>
      <c r="G21" s="366">
        <v>-18</v>
      </c>
      <c r="H21" s="366"/>
      <c r="I21" s="366"/>
      <c r="J21" s="366"/>
      <c r="K21" s="358">
        <f>SUM(F21:J21)</f>
        <v>-100</v>
      </c>
      <c r="L21" s="33"/>
      <c r="M21" s="555"/>
      <c r="N21" s="477"/>
      <c r="O21" s="477"/>
      <c r="P21" s="477"/>
      <c r="Q21" s="477"/>
      <c r="R21" s="559">
        <f>SUM(M21:Q21)</f>
        <v>0</v>
      </c>
      <c r="S21" s="366"/>
      <c r="T21" s="33">
        <f t="shared" ref="T21:Y21" si="10">+F21-M21</f>
        <v>-82</v>
      </c>
      <c r="U21" s="33">
        <f t="shared" si="10"/>
        <v>-18</v>
      </c>
      <c r="V21" s="33">
        <f t="shared" si="10"/>
        <v>0</v>
      </c>
      <c r="W21" s="33">
        <f t="shared" si="10"/>
        <v>0</v>
      </c>
      <c r="X21" s="33">
        <f t="shared" si="10"/>
        <v>0</v>
      </c>
      <c r="Y21" s="33">
        <f t="shared" si="10"/>
        <v>-100</v>
      </c>
      <c r="Z21" s="33"/>
      <c r="AA21" s="555">
        <v>-279</v>
      </c>
      <c r="AB21" s="477">
        <v>-73</v>
      </c>
      <c r="AC21" s="477"/>
      <c r="AD21" s="477"/>
      <c r="AE21" s="477"/>
      <c r="AF21" s="559">
        <f>SUM(AA21:AE21)</f>
        <v>-352</v>
      </c>
      <c r="AG21" s="33"/>
      <c r="AH21" s="374">
        <v>-225</v>
      </c>
      <c r="AI21" s="366">
        <v>-54</v>
      </c>
      <c r="AJ21" s="366"/>
      <c r="AK21" s="366"/>
      <c r="AL21" s="366"/>
      <c r="AM21" s="358">
        <f>SUM(AH21:AL21)</f>
        <v>-279</v>
      </c>
      <c r="AN21" s="33"/>
      <c r="AO21" s="374">
        <v>-149</v>
      </c>
      <c r="AP21" s="366">
        <v>-40</v>
      </c>
      <c r="AQ21" s="366"/>
      <c r="AR21" s="366"/>
      <c r="AS21" s="366"/>
      <c r="AT21" s="358">
        <f>SUM(AO21:AS21)</f>
        <v>-189</v>
      </c>
      <c r="AU21" s="33"/>
      <c r="AV21" s="374">
        <v>-70</v>
      </c>
      <c r="AW21" s="366">
        <v>-21</v>
      </c>
      <c r="AX21" s="366"/>
      <c r="AY21" s="366"/>
      <c r="AZ21" s="366"/>
      <c r="BA21" s="358">
        <f>SUM(AV21:AZ21)</f>
        <v>-91</v>
      </c>
      <c r="BB21" s="33"/>
      <c r="BC21" s="374">
        <v>-306</v>
      </c>
      <c r="BD21" s="366">
        <v>-77</v>
      </c>
      <c r="BE21" s="366"/>
      <c r="BF21" s="366"/>
      <c r="BG21" s="366"/>
      <c r="BH21" s="358">
        <f>SUM(BC21:BG21)</f>
        <v>-383</v>
      </c>
      <c r="BI21" s="33"/>
      <c r="BJ21" s="374">
        <v>-237</v>
      </c>
      <c r="BK21" s="366">
        <v>-52</v>
      </c>
      <c r="BL21" s="366"/>
      <c r="BM21" s="366"/>
      <c r="BN21" s="366"/>
      <c r="BO21" s="358">
        <f>SUM(BJ21:BN21)</f>
        <v>-289</v>
      </c>
      <c r="BP21" s="33"/>
      <c r="BQ21" s="374">
        <v>-169</v>
      </c>
      <c r="BR21" s="366">
        <v>-30</v>
      </c>
      <c r="BS21" s="366"/>
      <c r="BT21" s="366"/>
      <c r="BU21" s="366"/>
      <c r="BV21" s="358">
        <f>SUM(BQ21:BU21)</f>
        <v>-199</v>
      </c>
      <c r="BW21" s="33"/>
      <c r="BX21" s="374">
        <v>-69</v>
      </c>
      <c r="BY21" s="366">
        <v>-12</v>
      </c>
      <c r="BZ21" s="366"/>
      <c r="CA21" s="366"/>
      <c r="CB21" s="366"/>
      <c r="CC21" s="358">
        <f>SUM(BX21:CB21)</f>
        <v>-81</v>
      </c>
      <c r="CD21" s="33"/>
      <c r="CE21" s="374">
        <v>-206</v>
      </c>
      <c r="CF21" s="366">
        <v>-68</v>
      </c>
      <c r="CG21" s="366"/>
      <c r="CH21" s="366"/>
      <c r="CI21" s="366"/>
      <c r="CJ21" s="358">
        <f>SUM(CE21:CI21)</f>
        <v>-274</v>
      </c>
      <c r="CK21" s="33"/>
      <c r="CL21" s="374">
        <v>-162</v>
      </c>
      <c r="CM21" s="366">
        <v>-47</v>
      </c>
      <c r="CN21" s="366"/>
      <c r="CO21" s="366"/>
      <c r="CP21" s="366"/>
      <c r="CQ21" s="358">
        <f>SUM(CL21:CP21)</f>
        <v>-209</v>
      </c>
      <c r="CR21" s="33"/>
      <c r="CS21" s="374">
        <v>-120</v>
      </c>
      <c r="CT21" s="366">
        <v>-36</v>
      </c>
      <c r="CU21" s="366"/>
      <c r="CV21" s="366"/>
      <c r="CW21" s="366"/>
      <c r="CX21" s="358">
        <f>SUM(CS21:CW21)</f>
        <v>-156</v>
      </c>
      <c r="CY21" s="33"/>
      <c r="CZ21" s="374">
        <v>-66</v>
      </c>
      <c r="DA21" s="366">
        <v>-18</v>
      </c>
      <c r="DB21" s="366"/>
      <c r="DC21" s="366"/>
      <c r="DD21" s="366"/>
      <c r="DE21" s="358">
        <f>SUM(CZ21:DD21)</f>
        <v>-84</v>
      </c>
      <c r="DF21" s="33"/>
      <c r="DG21" s="374">
        <f>-266-59</f>
        <v>-325</v>
      </c>
      <c r="DH21" s="366">
        <f>-75-15</f>
        <v>-90</v>
      </c>
      <c r="DI21" s="366"/>
      <c r="DJ21" s="366"/>
      <c r="DK21" s="366"/>
      <c r="DL21" s="358">
        <f>SUM(DG21:DK21)</f>
        <v>-415</v>
      </c>
      <c r="DM21" s="33"/>
      <c r="DN21" s="374">
        <v>-266</v>
      </c>
      <c r="DO21" s="366">
        <v>-75</v>
      </c>
      <c r="DP21" s="366"/>
      <c r="DQ21" s="366"/>
      <c r="DR21" s="366"/>
      <c r="DS21" s="358">
        <f>SUM(DN21:DR21)</f>
        <v>-341</v>
      </c>
      <c r="DT21" s="33"/>
      <c r="DU21" s="374">
        <v>-208</v>
      </c>
      <c r="DV21" s="366">
        <v>-56</v>
      </c>
      <c r="DW21" s="366"/>
      <c r="DX21" s="366"/>
      <c r="DY21" s="366"/>
      <c r="DZ21" s="358">
        <f>SUM(DU21:DY21)</f>
        <v>-264</v>
      </c>
      <c r="EA21" s="33"/>
      <c r="EB21" s="374">
        <v>-124</v>
      </c>
      <c r="EC21" s="366">
        <v>-39</v>
      </c>
      <c r="ED21" s="366"/>
      <c r="EE21" s="366"/>
      <c r="EF21" s="366"/>
      <c r="EG21" s="358">
        <f>SUM(EB21:EF21)</f>
        <v>-163</v>
      </c>
      <c r="EH21" s="33"/>
      <c r="EI21" s="374">
        <v>-49</v>
      </c>
      <c r="EJ21" s="366">
        <v>-16</v>
      </c>
      <c r="EK21" s="366"/>
      <c r="EL21" s="366"/>
      <c r="EM21" s="366"/>
      <c r="EN21" s="358">
        <f>SUM(EI21:EM21)</f>
        <v>-65</v>
      </c>
      <c r="EO21" s="33"/>
      <c r="EP21" s="374">
        <v>-213</v>
      </c>
      <c r="EQ21" s="366">
        <v>-101</v>
      </c>
      <c r="ER21" s="366"/>
      <c r="ES21" s="366"/>
      <c r="ET21" s="366"/>
      <c r="EU21" s="358">
        <f>SUM(EP21:ET21)</f>
        <v>-314</v>
      </c>
      <c r="EV21" s="33"/>
      <c r="EW21" s="374">
        <v>-163</v>
      </c>
      <c r="EX21" s="366">
        <v>-78</v>
      </c>
      <c r="EY21" s="366"/>
      <c r="EZ21" s="366"/>
      <c r="FA21" s="366"/>
      <c r="FB21" s="358">
        <f>SUM(EW21:FA21)</f>
        <v>-241</v>
      </c>
      <c r="FC21" s="33"/>
      <c r="FD21" s="374">
        <v>-104</v>
      </c>
      <c r="FE21" s="366">
        <v>-50</v>
      </c>
      <c r="FF21" s="366"/>
      <c r="FG21" s="366"/>
      <c r="FH21" s="366"/>
      <c r="FI21" s="358">
        <f>SUM(FD21:FH21)</f>
        <v>-154</v>
      </c>
      <c r="FJ21" s="33"/>
      <c r="FK21" s="374">
        <v>-48</v>
      </c>
      <c r="FL21" s="366">
        <v>-23</v>
      </c>
      <c r="FM21" s="366"/>
      <c r="FN21" s="366"/>
      <c r="FO21" s="366"/>
      <c r="FP21" s="358">
        <f>SUM(FK21:FO21)</f>
        <v>-71</v>
      </c>
      <c r="FQ21" s="33"/>
      <c r="FR21" s="374">
        <v>-399</v>
      </c>
      <c r="FS21" s="366">
        <v>-126</v>
      </c>
      <c r="FT21" s="366"/>
      <c r="FU21" s="366"/>
      <c r="FV21" s="366"/>
      <c r="FW21" s="358">
        <f>SUM(FR21:FV21)</f>
        <v>-525</v>
      </c>
      <c r="FX21" s="33"/>
      <c r="FY21" s="417">
        <v>-345</v>
      </c>
      <c r="FZ21" s="366">
        <v>-96</v>
      </c>
      <c r="GA21" s="366"/>
      <c r="GB21" s="366"/>
      <c r="GC21" s="366"/>
      <c r="GD21" s="358">
        <f>SUM(FY21:GC21)</f>
        <v>-441</v>
      </c>
      <c r="GE21" s="33"/>
      <c r="GF21" s="417">
        <f>-164-120</f>
        <v>-284</v>
      </c>
      <c r="GG21" s="366">
        <v>-58</v>
      </c>
      <c r="GH21" s="366"/>
      <c r="GI21" s="366"/>
      <c r="GJ21" s="366"/>
      <c r="GK21" s="358">
        <f>SUM(GF21:GJ21)</f>
        <v>-342</v>
      </c>
      <c r="GL21" s="33"/>
      <c r="GM21" s="357">
        <v>-55</v>
      </c>
      <c r="GN21" s="366">
        <v>-31</v>
      </c>
      <c r="GO21" s="366"/>
      <c r="GP21" s="366"/>
      <c r="GQ21" s="366"/>
      <c r="GR21" s="358">
        <f>SUM(GM21:GQ21)</f>
        <v>-86</v>
      </c>
      <c r="GS21" s="33"/>
      <c r="GT21" s="357">
        <f>-287-21</f>
        <v>-308</v>
      </c>
      <c r="GU21" s="366">
        <f>-102-10</f>
        <v>-112</v>
      </c>
      <c r="GV21" s="366"/>
      <c r="GW21" s="366"/>
      <c r="GX21" s="366"/>
      <c r="GY21" s="358">
        <f>SUM(GT21:GX21)</f>
        <v>-420</v>
      </c>
      <c r="GZ21" s="33"/>
      <c r="HA21" s="357">
        <f>-224-16</f>
        <v>-240</v>
      </c>
      <c r="HB21" s="366">
        <f>-79-8</f>
        <v>-87</v>
      </c>
      <c r="HC21" s="366"/>
      <c r="HD21" s="366"/>
      <c r="HE21" s="366"/>
      <c r="HF21" s="358">
        <f>SUM(HA21:HE21)</f>
        <v>-327</v>
      </c>
      <c r="HG21" s="33"/>
      <c r="HH21" s="357">
        <f>-159-10-2</f>
        <v>-171</v>
      </c>
      <c r="HI21" s="366">
        <f>-58-5</f>
        <v>-63</v>
      </c>
      <c r="HJ21" s="366"/>
      <c r="HK21" s="366"/>
      <c r="HL21" s="366"/>
      <c r="HM21" s="358">
        <f>SUM(HH21:HL21)</f>
        <v>-234</v>
      </c>
      <c r="HN21" s="33"/>
      <c r="HO21" s="357">
        <f>ROUND(-75224/1000,0)</f>
        <v>-75</v>
      </c>
      <c r="HP21" s="366">
        <v>-33</v>
      </c>
      <c r="HQ21" s="366"/>
      <c r="HR21" s="366"/>
      <c r="HS21" s="366"/>
      <c r="HT21" s="358">
        <f>SUM(HO21:HS21)</f>
        <v>-108</v>
      </c>
      <c r="HU21" s="33"/>
      <c r="HV21" s="33">
        <f>-305-21</f>
        <v>-326</v>
      </c>
      <c r="HW21" s="33">
        <f>-105-10</f>
        <v>-115</v>
      </c>
      <c r="HX21" s="33">
        <f>-58</f>
        <v>-58</v>
      </c>
      <c r="HY21" s="33">
        <v>0</v>
      </c>
      <c r="HZ21" s="33"/>
      <c r="IA21" s="33">
        <f>SUM(HV21:HZ21)</f>
        <v>-499</v>
      </c>
      <c r="IB21" s="33"/>
      <c r="IC21" s="33">
        <v>-257</v>
      </c>
      <c r="ID21" s="33">
        <v>-95</v>
      </c>
      <c r="IE21" s="33">
        <v>-46</v>
      </c>
      <c r="IF21" s="33">
        <v>0</v>
      </c>
      <c r="IG21" s="33"/>
      <c r="IH21" s="33">
        <f>SUM(IC21:IG21)</f>
        <v>-398</v>
      </c>
      <c r="II21" s="127"/>
      <c r="IJ21" s="33">
        <v>-168</v>
      </c>
      <c r="IK21" s="33">
        <v>-60</v>
      </c>
      <c r="IL21" s="33">
        <v>-32</v>
      </c>
      <c r="IM21" s="33">
        <v>0</v>
      </c>
      <c r="IN21" s="33"/>
      <c r="IO21" s="33">
        <v>-260</v>
      </c>
      <c r="IP21" s="127"/>
      <c r="IQ21" s="33">
        <v>-75</v>
      </c>
      <c r="IR21" s="33">
        <v>-29</v>
      </c>
      <c r="IS21" s="33">
        <v>-14</v>
      </c>
      <c r="IT21" s="33">
        <v>0</v>
      </c>
      <c r="IU21" s="33"/>
      <c r="IV21" s="33">
        <f>SUM(IQ21:IU21)</f>
        <v>-118</v>
      </c>
    </row>
    <row r="22" spans="1:256">
      <c r="A22" s="30"/>
      <c r="B22" s="30"/>
      <c r="C22" s="30"/>
      <c r="D22" s="30"/>
      <c r="E22" s="30"/>
      <c r="F22" s="357"/>
      <c r="G22" s="366"/>
      <c r="H22" s="366"/>
      <c r="I22" s="366"/>
      <c r="J22" s="366"/>
      <c r="K22" s="358"/>
      <c r="L22" s="33"/>
      <c r="M22" s="558"/>
      <c r="N22" s="477"/>
      <c r="O22" s="477"/>
      <c r="P22" s="477"/>
      <c r="Q22" s="477"/>
      <c r="R22" s="559"/>
      <c r="S22" s="366"/>
      <c r="T22" s="33"/>
      <c r="U22" s="33"/>
      <c r="V22" s="33"/>
      <c r="W22" s="33"/>
      <c r="X22" s="33"/>
      <c r="Y22" s="33"/>
      <c r="Z22" s="33"/>
      <c r="AA22" s="558"/>
      <c r="AB22" s="477"/>
      <c r="AC22" s="477"/>
      <c r="AD22" s="477"/>
      <c r="AE22" s="477"/>
      <c r="AF22" s="559"/>
      <c r="AG22" s="33"/>
      <c r="AH22" s="357"/>
      <c r="AI22" s="366"/>
      <c r="AJ22" s="366"/>
      <c r="AK22" s="366"/>
      <c r="AL22" s="366"/>
      <c r="AM22" s="358"/>
      <c r="AN22" s="33"/>
      <c r="AO22" s="357"/>
      <c r="AP22" s="366"/>
      <c r="AQ22" s="366"/>
      <c r="AR22" s="366"/>
      <c r="AS22" s="366"/>
      <c r="AT22" s="358"/>
      <c r="AU22" s="33"/>
      <c r="AV22" s="357"/>
      <c r="AW22" s="366"/>
      <c r="AX22" s="366"/>
      <c r="AY22" s="366"/>
      <c r="AZ22" s="366"/>
      <c r="BA22" s="358"/>
      <c r="BB22" s="33"/>
      <c r="BC22" s="357"/>
      <c r="BD22" s="366"/>
      <c r="BE22" s="366"/>
      <c r="BF22" s="366"/>
      <c r="BG22" s="366"/>
      <c r="BH22" s="358"/>
      <c r="BI22" s="33"/>
      <c r="BJ22" s="357"/>
      <c r="BK22" s="366"/>
      <c r="BL22" s="366"/>
      <c r="BM22" s="366"/>
      <c r="BN22" s="366"/>
      <c r="BO22" s="358"/>
      <c r="BP22" s="33"/>
      <c r="BQ22" s="357"/>
      <c r="BR22" s="366"/>
      <c r="BS22" s="366"/>
      <c r="BT22" s="366"/>
      <c r="BU22" s="366"/>
      <c r="BV22" s="358"/>
      <c r="BW22" s="33"/>
      <c r="BX22" s="357"/>
      <c r="BY22" s="366"/>
      <c r="BZ22" s="366"/>
      <c r="CA22" s="366"/>
      <c r="CB22" s="366"/>
      <c r="CC22" s="358"/>
      <c r="CD22" s="33"/>
      <c r="CE22" s="357"/>
      <c r="CF22" s="366"/>
      <c r="CG22" s="366"/>
      <c r="CH22" s="366"/>
      <c r="CI22" s="366"/>
      <c r="CJ22" s="358"/>
      <c r="CK22" s="33"/>
      <c r="CL22" s="357"/>
      <c r="CM22" s="366"/>
      <c r="CN22" s="366"/>
      <c r="CO22" s="366"/>
      <c r="CP22" s="366"/>
      <c r="CQ22" s="358"/>
      <c r="CR22" s="33"/>
      <c r="CS22" s="357"/>
      <c r="CT22" s="366"/>
      <c r="CU22" s="366"/>
      <c r="CV22" s="366"/>
      <c r="CW22" s="366"/>
      <c r="CX22" s="358"/>
      <c r="CY22" s="33"/>
      <c r="CZ22" s="357"/>
      <c r="DA22" s="366"/>
      <c r="DB22" s="366"/>
      <c r="DC22" s="366"/>
      <c r="DD22" s="366"/>
      <c r="DE22" s="358"/>
      <c r="DF22" s="33"/>
      <c r="DG22" s="357"/>
      <c r="DH22" s="366"/>
      <c r="DI22" s="366"/>
      <c r="DJ22" s="366"/>
      <c r="DK22" s="366"/>
      <c r="DL22" s="358"/>
      <c r="DM22" s="33"/>
      <c r="DN22" s="357"/>
      <c r="DO22" s="366"/>
      <c r="DP22" s="366"/>
      <c r="DQ22" s="366"/>
      <c r="DR22" s="366"/>
      <c r="DS22" s="358"/>
      <c r="DT22" s="33"/>
      <c r="DU22" s="357"/>
      <c r="DV22" s="366"/>
      <c r="DW22" s="366"/>
      <c r="DX22" s="366"/>
      <c r="DY22" s="366"/>
      <c r="DZ22" s="358"/>
      <c r="EA22" s="33"/>
      <c r="EB22" s="357"/>
      <c r="EC22" s="366"/>
      <c r="ED22" s="366"/>
      <c r="EE22" s="366"/>
      <c r="EF22" s="366"/>
      <c r="EG22" s="358"/>
      <c r="EH22" s="33"/>
      <c r="EI22" s="357"/>
      <c r="EJ22" s="366"/>
      <c r="EK22" s="366"/>
      <c r="EL22" s="366"/>
      <c r="EM22" s="366"/>
      <c r="EN22" s="358"/>
      <c r="EO22" s="33"/>
      <c r="EP22" s="357"/>
      <c r="EQ22" s="366"/>
      <c r="ER22" s="366"/>
      <c r="ES22" s="366"/>
      <c r="ET22" s="366"/>
      <c r="EU22" s="358"/>
      <c r="EV22" s="33"/>
      <c r="EW22" s="357"/>
      <c r="EX22" s="366"/>
      <c r="EY22" s="366"/>
      <c r="EZ22" s="366"/>
      <c r="FA22" s="366"/>
      <c r="FB22" s="358"/>
      <c r="FC22" s="33"/>
      <c r="FD22" s="357"/>
      <c r="FE22" s="366"/>
      <c r="FF22" s="366"/>
      <c r="FG22" s="366"/>
      <c r="FH22" s="366"/>
      <c r="FI22" s="358"/>
      <c r="FJ22" s="33"/>
      <c r="FK22" s="357"/>
      <c r="FL22" s="366"/>
      <c r="FM22" s="366"/>
      <c r="FN22" s="366"/>
      <c r="FO22" s="366"/>
      <c r="FP22" s="358"/>
      <c r="FQ22" s="33"/>
      <c r="FR22" s="357"/>
      <c r="FS22" s="366"/>
      <c r="FT22" s="366"/>
      <c r="FU22" s="366"/>
      <c r="FV22" s="366"/>
      <c r="FW22" s="358"/>
      <c r="FX22" s="33"/>
      <c r="FY22" s="357"/>
      <c r="FZ22" s="366"/>
      <c r="GA22" s="366"/>
      <c r="GB22" s="366"/>
      <c r="GC22" s="366"/>
      <c r="GD22" s="358"/>
      <c r="GE22" s="33"/>
      <c r="GF22" s="357"/>
      <c r="GG22" s="366"/>
      <c r="GH22" s="366"/>
      <c r="GI22" s="366"/>
      <c r="GJ22" s="366"/>
      <c r="GK22" s="358"/>
      <c r="GL22" s="33"/>
      <c r="GM22" s="357"/>
      <c r="GN22" s="366"/>
      <c r="GO22" s="366"/>
      <c r="GP22" s="366"/>
      <c r="GQ22" s="366"/>
      <c r="GR22" s="358"/>
      <c r="GS22" s="33"/>
      <c r="GT22" s="357"/>
      <c r="GU22" s="366"/>
      <c r="GV22" s="366"/>
      <c r="GW22" s="366"/>
      <c r="GX22" s="366"/>
      <c r="GY22" s="358"/>
      <c r="GZ22" s="33"/>
      <c r="HA22" s="357"/>
      <c r="HB22" s="366"/>
      <c r="HC22" s="366"/>
      <c r="HD22" s="366"/>
      <c r="HE22" s="366"/>
      <c r="HF22" s="358"/>
      <c r="HG22" s="33"/>
      <c r="HH22" s="357"/>
      <c r="HI22" s="366"/>
      <c r="HJ22" s="366"/>
      <c r="HK22" s="366"/>
      <c r="HL22" s="366"/>
      <c r="HM22" s="358"/>
      <c r="HN22" s="33"/>
      <c r="HO22" s="357"/>
      <c r="HP22" s="366"/>
      <c r="HQ22" s="366"/>
      <c r="HR22" s="366"/>
      <c r="HS22" s="366"/>
      <c r="HT22" s="358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127"/>
      <c r="IJ22" s="33"/>
      <c r="IK22" s="33"/>
      <c r="IL22" s="33"/>
      <c r="IM22" s="33"/>
      <c r="IN22" s="33"/>
      <c r="IO22" s="33"/>
      <c r="IP22" s="127"/>
      <c r="IQ22" s="33"/>
      <c r="IR22" s="33"/>
      <c r="IS22" s="33"/>
      <c r="IT22" s="33"/>
      <c r="IU22" s="33"/>
      <c r="IV22" s="33"/>
    </row>
    <row r="23" spans="1:256">
      <c r="A23" s="106"/>
      <c r="B23" s="106"/>
      <c r="C23" s="106"/>
      <c r="D23" s="106"/>
      <c r="E23" s="106"/>
      <c r="F23" s="357"/>
      <c r="G23" s="366"/>
      <c r="H23" s="366"/>
      <c r="I23" s="366"/>
      <c r="J23" s="366"/>
      <c r="K23" s="358"/>
      <c r="L23" s="33"/>
      <c r="M23" s="558"/>
      <c r="N23" s="477"/>
      <c r="O23" s="477"/>
      <c r="P23" s="477"/>
      <c r="Q23" s="477"/>
      <c r="R23" s="559"/>
      <c r="S23" s="366"/>
      <c r="T23" s="33"/>
      <c r="U23" s="33"/>
      <c r="V23" s="33"/>
      <c r="W23" s="33"/>
      <c r="X23" s="33"/>
      <c r="Y23" s="33"/>
      <c r="Z23" s="33"/>
      <c r="AA23" s="558"/>
      <c r="AB23" s="477"/>
      <c r="AC23" s="477"/>
      <c r="AD23" s="477"/>
      <c r="AE23" s="477"/>
      <c r="AF23" s="559"/>
      <c r="AG23" s="33"/>
      <c r="AH23" s="357"/>
      <c r="AI23" s="366"/>
      <c r="AJ23" s="366"/>
      <c r="AK23" s="366"/>
      <c r="AL23" s="366"/>
      <c r="AM23" s="358"/>
      <c r="AN23" s="33"/>
      <c r="AO23" s="357"/>
      <c r="AP23" s="366"/>
      <c r="AQ23" s="366"/>
      <c r="AR23" s="366"/>
      <c r="AS23" s="366"/>
      <c r="AT23" s="358"/>
      <c r="AU23" s="33"/>
      <c r="AV23" s="357"/>
      <c r="AW23" s="366"/>
      <c r="AX23" s="366"/>
      <c r="AY23" s="366"/>
      <c r="AZ23" s="366"/>
      <c r="BA23" s="358"/>
      <c r="BB23" s="33"/>
      <c r="BC23" s="357"/>
      <c r="BD23" s="366"/>
      <c r="BE23" s="366"/>
      <c r="BF23" s="366"/>
      <c r="BG23" s="366"/>
      <c r="BH23" s="358"/>
      <c r="BI23" s="33"/>
      <c r="BJ23" s="357"/>
      <c r="BK23" s="366"/>
      <c r="BL23" s="366"/>
      <c r="BM23" s="366"/>
      <c r="BN23" s="366"/>
      <c r="BO23" s="358"/>
      <c r="BP23" s="33"/>
      <c r="BQ23" s="357"/>
      <c r="BR23" s="366"/>
      <c r="BS23" s="366"/>
      <c r="BT23" s="366"/>
      <c r="BU23" s="366"/>
      <c r="BV23" s="358"/>
      <c r="BW23" s="33"/>
      <c r="BX23" s="357"/>
      <c r="BY23" s="366"/>
      <c r="BZ23" s="366"/>
      <c r="CA23" s="366"/>
      <c r="CB23" s="366"/>
      <c r="CC23" s="358"/>
      <c r="CD23" s="33"/>
      <c r="CE23" s="357"/>
      <c r="CF23" s="366"/>
      <c r="CG23" s="366"/>
      <c r="CH23" s="366"/>
      <c r="CI23" s="366"/>
      <c r="CJ23" s="358"/>
      <c r="CK23" s="33"/>
      <c r="CL23" s="357"/>
      <c r="CM23" s="366"/>
      <c r="CN23" s="366"/>
      <c r="CO23" s="366"/>
      <c r="CP23" s="366"/>
      <c r="CQ23" s="358"/>
      <c r="CR23" s="33"/>
      <c r="CS23" s="357"/>
      <c r="CT23" s="366"/>
      <c r="CU23" s="366"/>
      <c r="CV23" s="366"/>
      <c r="CW23" s="366"/>
      <c r="CX23" s="358"/>
      <c r="CY23" s="33"/>
      <c r="CZ23" s="357"/>
      <c r="DA23" s="366"/>
      <c r="DB23" s="366"/>
      <c r="DC23" s="366"/>
      <c r="DD23" s="366"/>
      <c r="DE23" s="358"/>
      <c r="DF23" s="33"/>
      <c r="DG23" s="357"/>
      <c r="DH23" s="366"/>
      <c r="DI23" s="366"/>
      <c r="DJ23" s="366"/>
      <c r="DK23" s="366"/>
      <c r="DL23" s="358"/>
      <c r="DM23" s="33"/>
      <c r="DN23" s="357"/>
      <c r="DO23" s="366"/>
      <c r="DP23" s="366"/>
      <c r="DQ23" s="366"/>
      <c r="DR23" s="366"/>
      <c r="DS23" s="358"/>
      <c r="DT23" s="33"/>
      <c r="DU23" s="357"/>
      <c r="DV23" s="366"/>
      <c r="DW23" s="366"/>
      <c r="DX23" s="366"/>
      <c r="DY23" s="366"/>
      <c r="DZ23" s="358"/>
      <c r="EA23" s="33"/>
      <c r="EB23" s="357"/>
      <c r="EC23" s="366"/>
      <c r="ED23" s="366"/>
      <c r="EE23" s="366"/>
      <c r="EF23" s="366"/>
      <c r="EG23" s="358"/>
      <c r="EH23" s="33"/>
      <c r="EI23" s="357"/>
      <c r="EJ23" s="366"/>
      <c r="EK23" s="366"/>
      <c r="EL23" s="366"/>
      <c r="EM23" s="366"/>
      <c r="EN23" s="358"/>
      <c r="EO23" s="33"/>
      <c r="EP23" s="357"/>
      <c r="EQ23" s="366"/>
      <c r="ER23" s="366"/>
      <c r="ES23" s="366"/>
      <c r="ET23" s="366"/>
      <c r="EU23" s="358"/>
      <c r="EV23" s="33"/>
      <c r="EW23" s="357"/>
      <c r="EX23" s="366"/>
      <c r="EY23" s="366"/>
      <c r="EZ23" s="366"/>
      <c r="FA23" s="366"/>
      <c r="FB23" s="358"/>
      <c r="FC23" s="33"/>
      <c r="FD23" s="357"/>
      <c r="FE23" s="366"/>
      <c r="FF23" s="366"/>
      <c r="FG23" s="366"/>
      <c r="FH23" s="366"/>
      <c r="FI23" s="358"/>
      <c r="FJ23" s="33"/>
      <c r="FK23" s="357"/>
      <c r="FL23" s="366"/>
      <c r="FM23" s="366"/>
      <c r="FN23" s="366"/>
      <c r="FO23" s="366"/>
      <c r="FP23" s="358"/>
      <c r="FQ23" s="33"/>
      <c r="FR23" s="357"/>
      <c r="FS23" s="366"/>
      <c r="FT23" s="366"/>
      <c r="FU23" s="366"/>
      <c r="FV23" s="366"/>
      <c r="FW23" s="358"/>
      <c r="FX23" s="33"/>
      <c r="FY23" s="357"/>
      <c r="FZ23" s="366"/>
      <c r="GA23" s="366"/>
      <c r="GB23" s="366"/>
      <c r="GC23" s="366"/>
      <c r="GD23" s="358"/>
      <c r="GE23" s="33"/>
      <c r="GF23" s="357"/>
      <c r="GG23" s="366"/>
      <c r="GH23" s="366"/>
      <c r="GI23" s="366"/>
      <c r="GJ23" s="366"/>
      <c r="GK23" s="358"/>
      <c r="GL23" s="33"/>
      <c r="GM23" s="357"/>
      <c r="GN23" s="366"/>
      <c r="GO23" s="366"/>
      <c r="GP23" s="366"/>
      <c r="GQ23" s="366"/>
      <c r="GR23" s="358"/>
      <c r="GS23" s="33"/>
      <c r="GT23" s="357"/>
      <c r="GU23" s="366"/>
      <c r="GV23" s="366"/>
      <c r="GW23" s="366"/>
      <c r="GX23" s="366"/>
      <c r="GY23" s="358"/>
      <c r="GZ23" s="33"/>
      <c r="HA23" s="357"/>
      <c r="HB23" s="366"/>
      <c r="HC23" s="366"/>
      <c r="HD23" s="366"/>
      <c r="HE23" s="366"/>
      <c r="HF23" s="358"/>
      <c r="HG23" s="33"/>
      <c r="HH23" s="357"/>
      <c r="HI23" s="366"/>
      <c r="HJ23" s="366"/>
      <c r="HK23" s="366"/>
      <c r="HL23" s="366"/>
      <c r="HM23" s="358"/>
      <c r="HN23" s="33"/>
      <c r="HO23" s="357"/>
      <c r="HP23" s="366"/>
      <c r="HQ23" s="366"/>
      <c r="HR23" s="366"/>
      <c r="HS23" s="366"/>
      <c r="HT23" s="358"/>
      <c r="HU23" s="33"/>
      <c r="HV23" s="33"/>
      <c r="HW23" s="33"/>
      <c r="HX23" s="33"/>
      <c r="HY23" s="33"/>
      <c r="HZ23" s="33"/>
      <c r="IA23" s="33">
        <f>SUM(HV23:HZ23)</f>
        <v>0</v>
      </c>
      <c r="IB23" s="33"/>
      <c r="IC23" s="33"/>
      <c r="ID23" s="33"/>
      <c r="IE23" s="33"/>
      <c r="IF23" s="33"/>
      <c r="IG23" s="33"/>
      <c r="IH23" s="33">
        <f>SUM(IC23:IG23)</f>
        <v>0</v>
      </c>
      <c r="II23" s="127"/>
      <c r="IJ23" s="33">
        <v>3125</v>
      </c>
      <c r="IK23" s="33"/>
      <c r="IL23" s="33"/>
      <c r="IM23" s="33"/>
      <c r="IN23" s="33">
        <v>-3125</v>
      </c>
      <c r="IO23" s="33">
        <v>0</v>
      </c>
      <c r="IP23" s="127"/>
      <c r="IQ23" s="33"/>
      <c r="IR23" s="33"/>
      <c r="IS23" s="33"/>
      <c r="IT23" s="33"/>
      <c r="IU23" s="33"/>
      <c r="IV23" s="33">
        <f>SUM(IQ23:IU23)</f>
        <v>0</v>
      </c>
    </row>
    <row r="24" spans="1:256">
      <c r="A24" s="30"/>
      <c r="B24" s="30"/>
      <c r="C24" s="30"/>
      <c r="D24" s="30"/>
      <c r="E24" s="30"/>
      <c r="F24" s="373"/>
      <c r="G24" s="363"/>
      <c r="H24" s="363"/>
      <c r="I24" s="363"/>
      <c r="J24" s="363"/>
      <c r="K24" s="362"/>
      <c r="L24" s="33"/>
      <c r="M24" s="565"/>
      <c r="N24" s="563"/>
      <c r="O24" s="563"/>
      <c r="P24" s="563"/>
      <c r="Q24" s="563"/>
      <c r="R24" s="564"/>
      <c r="S24" s="366"/>
      <c r="T24" s="363"/>
      <c r="U24" s="363"/>
      <c r="V24" s="363"/>
      <c r="W24" s="363"/>
      <c r="X24" s="363"/>
      <c r="Y24" s="363"/>
      <c r="Z24" s="33"/>
      <c r="AA24" s="565"/>
      <c r="AB24" s="563"/>
      <c r="AC24" s="563"/>
      <c r="AD24" s="563"/>
      <c r="AE24" s="563"/>
      <c r="AF24" s="564"/>
      <c r="AG24" s="33"/>
      <c r="AH24" s="373"/>
      <c r="AI24" s="363"/>
      <c r="AJ24" s="363"/>
      <c r="AK24" s="363"/>
      <c r="AL24" s="363"/>
      <c r="AM24" s="362"/>
      <c r="AN24" s="33"/>
      <c r="AO24" s="373"/>
      <c r="AP24" s="363"/>
      <c r="AQ24" s="363"/>
      <c r="AR24" s="363"/>
      <c r="AS24" s="363"/>
      <c r="AT24" s="362"/>
      <c r="AU24" s="33"/>
      <c r="AV24" s="373"/>
      <c r="AW24" s="363"/>
      <c r="AX24" s="363"/>
      <c r="AY24" s="363"/>
      <c r="AZ24" s="363"/>
      <c r="BA24" s="362"/>
      <c r="BB24" s="33"/>
      <c r="BC24" s="373"/>
      <c r="BD24" s="363"/>
      <c r="BE24" s="363"/>
      <c r="BF24" s="363"/>
      <c r="BG24" s="363"/>
      <c r="BH24" s="362"/>
      <c r="BI24" s="33"/>
      <c r="BJ24" s="373"/>
      <c r="BK24" s="363"/>
      <c r="BL24" s="363"/>
      <c r="BM24" s="363"/>
      <c r="BN24" s="363"/>
      <c r="BO24" s="362"/>
      <c r="BP24" s="33"/>
      <c r="BQ24" s="373"/>
      <c r="BR24" s="363"/>
      <c r="BS24" s="363"/>
      <c r="BT24" s="363"/>
      <c r="BU24" s="363"/>
      <c r="BV24" s="362"/>
      <c r="BW24" s="33"/>
      <c r="BX24" s="373"/>
      <c r="BY24" s="363"/>
      <c r="BZ24" s="363"/>
      <c r="CA24" s="363"/>
      <c r="CB24" s="363"/>
      <c r="CC24" s="362"/>
      <c r="CD24" s="33"/>
      <c r="CE24" s="373"/>
      <c r="CF24" s="363"/>
      <c r="CG24" s="363"/>
      <c r="CH24" s="363"/>
      <c r="CI24" s="363"/>
      <c r="CJ24" s="362"/>
      <c r="CK24" s="33"/>
      <c r="CL24" s="373"/>
      <c r="CM24" s="363"/>
      <c r="CN24" s="363"/>
      <c r="CO24" s="363"/>
      <c r="CP24" s="363"/>
      <c r="CQ24" s="362"/>
      <c r="CR24" s="33"/>
      <c r="CS24" s="373"/>
      <c r="CT24" s="363"/>
      <c r="CU24" s="363"/>
      <c r="CV24" s="363"/>
      <c r="CW24" s="363"/>
      <c r="CX24" s="362"/>
      <c r="CY24" s="33"/>
      <c r="CZ24" s="373"/>
      <c r="DA24" s="363"/>
      <c r="DB24" s="363"/>
      <c r="DC24" s="363"/>
      <c r="DD24" s="363"/>
      <c r="DE24" s="362"/>
      <c r="DF24" s="33"/>
      <c r="DG24" s="373"/>
      <c r="DH24" s="363"/>
      <c r="DI24" s="363"/>
      <c r="DJ24" s="363"/>
      <c r="DK24" s="363"/>
      <c r="DL24" s="362"/>
      <c r="DM24" s="33"/>
      <c r="DN24" s="373"/>
      <c r="DO24" s="363"/>
      <c r="DP24" s="363"/>
      <c r="DQ24" s="363"/>
      <c r="DR24" s="363"/>
      <c r="DS24" s="362"/>
      <c r="DT24" s="33"/>
      <c r="DU24" s="373"/>
      <c r="DV24" s="363"/>
      <c r="DW24" s="363"/>
      <c r="DX24" s="363"/>
      <c r="DY24" s="363"/>
      <c r="DZ24" s="362"/>
      <c r="EA24" s="33"/>
      <c r="EB24" s="373"/>
      <c r="EC24" s="363"/>
      <c r="ED24" s="363"/>
      <c r="EE24" s="363"/>
      <c r="EF24" s="363"/>
      <c r="EG24" s="362"/>
      <c r="EH24" s="33"/>
      <c r="EI24" s="373"/>
      <c r="EJ24" s="363"/>
      <c r="EK24" s="363"/>
      <c r="EL24" s="363"/>
      <c r="EM24" s="363"/>
      <c r="EN24" s="362"/>
      <c r="EO24" s="33"/>
      <c r="EP24" s="373"/>
      <c r="EQ24" s="363"/>
      <c r="ER24" s="363"/>
      <c r="ES24" s="363"/>
      <c r="ET24" s="363"/>
      <c r="EU24" s="362"/>
      <c r="EV24" s="33"/>
      <c r="EW24" s="373"/>
      <c r="EX24" s="363"/>
      <c r="EY24" s="363"/>
      <c r="EZ24" s="363"/>
      <c r="FA24" s="363"/>
      <c r="FB24" s="362"/>
      <c r="FC24" s="33"/>
      <c r="FD24" s="373"/>
      <c r="FE24" s="363"/>
      <c r="FF24" s="363"/>
      <c r="FG24" s="363"/>
      <c r="FH24" s="363"/>
      <c r="FI24" s="362"/>
      <c r="FJ24" s="33"/>
      <c r="FK24" s="373"/>
      <c r="FL24" s="363"/>
      <c r="FM24" s="363"/>
      <c r="FN24" s="363"/>
      <c r="FO24" s="363"/>
      <c r="FP24" s="362"/>
      <c r="FQ24" s="33"/>
      <c r="FR24" s="373"/>
      <c r="FS24" s="363"/>
      <c r="FT24" s="363"/>
      <c r="FU24" s="363"/>
      <c r="FV24" s="363"/>
      <c r="FW24" s="362"/>
      <c r="FX24" s="33"/>
      <c r="FY24" s="373"/>
      <c r="FZ24" s="363"/>
      <c r="GA24" s="363"/>
      <c r="GB24" s="363"/>
      <c r="GC24" s="363"/>
      <c r="GD24" s="362"/>
      <c r="GE24" s="33"/>
      <c r="GF24" s="373"/>
      <c r="GG24" s="363"/>
      <c r="GH24" s="363"/>
      <c r="GI24" s="363"/>
      <c r="GJ24" s="363"/>
      <c r="GK24" s="362"/>
      <c r="GL24" s="33"/>
      <c r="GM24" s="373"/>
      <c r="GN24" s="363"/>
      <c r="GO24" s="363"/>
      <c r="GP24" s="363"/>
      <c r="GQ24" s="363"/>
      <c r="GR24" s="362"/>
      <c r="GS24" s="33"/>
      <c r="GT24" s="373"/>
      <c r="GU24" s="363"/>
      <c r="GV24" s="363"/>
      <c r="GW24" s="363"/>
      <c r="GX24" s="363"/>
      <c r="GY24" s="362"/>
      <c r="GZ24" s="33"/>
      <c r="HA24" s="373"/>
      <c r="HB24" s="363"/>
      <c r="HC24" s="363"/>
      <c r="HD24" s="363"/>
      <c r="HE24" s="363"/>
      <c r="HF24" s="362"/>
      <c r="HG24" s="33"/>
      <c r="HH24" s="373"/>
      <c r="HI24" s="363"/>
      <c r="HJ24" s="363"/>
      <c r="HK24" s="363"/>
      <c r="HL24" s="363"/>
      <c r="HM24" s="362"/>
      <c r="HN24" s="33"/>
      <c r="HO24" s="373"/>
      <c r="HP24" s="363"/>
      <c r="HQ24" s="363"/>
      <c r="HR24" s="363"/>
      <c r="HS24" s="363"/>
      <c r="HT24" s="362"/>
      <c r="HU24" s="33"/>
      <c r="HV24" s="361"/>
      <c r="HW24" s="363"/>
      <c r="HX24" s="363"/>
      <c r="HY24" s="363"/>
      <c r="HZ24" s="363"/>
      <c r="IA24" s="363"/>
      <c r="IB24" s="33"/>
      <c r="IC24" s="361"/>
      <c r="ID24" s="363"/>
      <c r="IE24" s="363"/>
      <c r="IF24" s="363"/>
      <c r="IG24" s="363"/>
      <c r="IH24" s="363"/>
      <c r="II24" s="127"/>
      <c r="IJ24" s="361"/>
      <c r="IK24" s="363"/>
      <c r="IL24" s="363"/>
      <c r="IM24" s="363"/>
      <c r="IN24" s="363"/>
      <c r="IO24" s="363"/>
      <c r="IP24" s="127"/>
      <c r="IQ24" s="361"/>
      <c r="IR24" s="363"/>
      <c r="IS24" s="363"/>
      <c r="IT24" s="363"/>
      <c r="IU24" s="363"/>
      <c r="IV24" s="363"/>
    </row>
    <row r="25" spans="1:256">
      <c r="A25" s="30"/>
      <c r="B25" s="30"/>
      <c r="C25" s="30"/>
      <c r="D25" s="30"/>
      <c r="E25" s="30"/>
      <c r="F25" s="357"/>
      <c r="G25" s="366"/>
      <c r="H25" s="366"/>
      <c r="I25" s="366"/>
      <c r="J25" s="366"/>
      <c r="K25" s="358"/>
      <c r="L25" s="33"/>
      <c r="M25" s="558"/>
      <c r="N25" s="477"/>
      <c r="O25" s="477"/>
      <c r="P25" s="477"/>
      <c r="Q25" s="477"/>
      <c r="R25" s="559"/>
      <c r="S25" s="366"/>
      <c r="T25" s="33"/>
      <c r="U25" s="33"/>
      <c r="V25" s="33"/>
      <c r="W25" s="33"/>
      <c r="X25" s="33"/>
      <c r="Y25" s="33"/>
      <c r="Z25" s="33"/>
      <c r="AA25" s="558"/>
      <c r="AB25" s="477"/>
      <c r="AC25" s="477"/>
      <c r="AD25" s="477"/>
      <c r="AE25" s="477"/>
      <c r="AF25" s="559"/>
      <c r="AG25" s="33"/>
      <c r="AH25" s="357"/>
      <c r="AI25" s="366"/>
      <c r="AJ25" s="366"/>
      <c r="AK25" s="366"/>
      <c r="AL25" s="366"/>
      <c r="AM25" s="358"/>
      <c r="AN25" s="33"/>
      <c r="AO25" s="357"/>
      <c r="AP25" s="366"/>
      <c r="AQ25" s="366"/>
      <c r="AR25" s="366"/>
      <c r="AS25" s="366"/>
      <c r="AT25" s="358"/>
      <c r="AU25" s="33"/>
      <c r="AV25" s="357"/>
      <c r="AW25" s="366"/>
      <c r="AX25" s="366"/>
      <c r="AY25" s="366"/>
      <c r="AZ25" s="366"/>
      <c r="BA25" s="358"/>
      <c r="BB25" s="33"/>
      <c r="BC25" s="357"/>
      <c r="BD25" s="366"/>
      <c r="BE25" s="366"/>
      <c r="BF25" s="366"/>
      <c r="BG25" s="366"/>
      <c r="BH25" s="358"/>
      <c r="BI25" s="33"/>
      <c r="BJ25" s="357"/>
      <c r="BK25" s="366"/>
      <c r="BL25" s="366"/>
      <c r="BM25" s="366"/>
      <c r="BN25" s="366"/>
      <c r="BO25" s="358"/>
      <c r="BP25" s="33"/>
      <c r="BQ25" s="357"/>
      <c r="BR25" s="366"/>
      <c r="BS25" s="366"/>
      <c r="BT25" s="366"/>
      <c r="BU25" s="366"/>
      <c r="BV25" s="358"/>
      <c r="BW25" s="33"/>
      <c r="BX25" s="357"/>
      <c r="BY25" s="366"/>
      <c r="BZ25" s="366"/>
      <c r="CA25" s="366"/>
      <c r="CB25" s="366"/>
      <c r="CC25" s="358"/>
      <c r="CD25" s="33"/>
      <c r="CE25" s="357"/>
      <c r="CF25" s="366"/>
      <c r="CG25" s="366"/>
      <c r="CH25" s="366"/>
      <c r="CI25" s="366"/>
      <c r="CJ25" s="358"/>
      <c r="CK25" s="33"/>
      <c r="CL25" s="357"/>
      <c r="CM25" s="366"/>
      <c r="CN25" s="366"/>
      <c r="CO25" s="366"/>
      <c r="CP25" s="366"/>
      <c r="CQ25" s="358"/>
      <c r="CR25" s="33"/>
      <c r="CS25" s="357"/>
      <c r="CT25" s="366"/>
      <c r="CU25" s="366"/>
      <c r="CV25" s="366"/>
      <c r="CW25" s="366"/>
      <c r="CX25" s="358"/>
      <c r="CY25" s="33"/>
      <c r="CZ25" s="357"/>
      <c r="DA25" s="366"/>
      <c r="DB25" s="366"/>
      <c r="DC25" s="366"/>
      <c r="DD25" s="366"/>
      <c r="DE25" s="358"/>
      <c r="DF25" s="33"/>
      <c r="DG25" s="357"/>
      <c r="DH25" s="366"/>
      <c r="DI25" s="366"/>
      <c r="DJ25" s="366"/>
      <c r="DK25" s="366"/>
      <c r="DL25" s="358"/>
      <c r="DM25" s="33"/>
      <c r="DN25" s="357"/>
      <c r="DO25" s="366"/>
      <c r="DP25" s="366"/>
      <c r="DQ25" s="366"/>
      <c r="DR25" s="366"/>
      <c r="DS25" s="358"/>
      <c r="DT25" s="33"/>
      <c r="DU25" s="357"/>
      <c r="DV25" s="366"/>
      <c r="DW25" s="366"/>
      <c r="DX25" s="366"/>
      <c r="DY25" s="366"/>
      <c r="DZ25" s="358"/>
      <c r="EA25" s="33"/>
      <c r="EB25" s="357"/>
      <c r="EC25" s="366"/>
      <c r="ED25" s="366"/>
      <c r="EE25" s="366"/>
      <c r="EF25" s="366"/>
      <c r="EG25" s="358"/>
      <c r="EH25" s="33"/>
      <c r="EI25" s="357"/>
      <c r="EJ25" s="366"/>
      <c r="EK25" s="366"/>
      <c r="EL25" s="366"/>
      <c r="EM25" s="366"/>
      <c r="EN25" s="358"/>
      <c r="EO25" s="33"/>
      <c r="EP25" s="357"/>
      <c r="EQ25" s="366"/>
      <c r="ER25" s="366"/>
      <c r="ES25" s="366"/>
      <c r="ET25" s="366"/>
      <c r="EU25" s="358"/>
      <c r="EV25" s="33"/>
      <c r="EW25" s="357"/>
      <c r="EX25" s="366"/>
      <c r="EY25" s="366"/>
      <c r="EZ25" s="366"/>
      <c r="FA25" s="366"/>
      <c r="FB25" s="358"/>
      <c r="FC25" s="33"/>
      <c r="FD25" s="357"/>
      <c r="FE25" s="366"/>
      <c r="FF25" s="366"/>
      <c r="FG25" s="366"/>
      <c r="FH25" s="366"/>
      <c r="FI25" s="358"/>
      <c r="FJ25" s="33"/>
      <c r="FK25" s="357"/>
      <c r="FL25" s="366"/>
      <c r="FM25" s="366"/>
      <c r="FN25" s="366"/>
      <c r="FO25" s="366"/>
      <c r="FP25" s="358"/>
      <c r="FQ25" s="33"/>
      <c r="FR25" s="357"/>
      <c r="FS25" s="366"/>
      <c r="FT25" s="366"/>
      <c r="FU25" s="366"/>
      <c r="FV25" s="366"/>
      <c r="FW25" s="358"/>
      <c r="FX25" s="33"/>
      <c r="FY25" s="357"/>
      <c r="FZ25" s="366"/>
      <c r="GA25" s="366"/>
      <c r="GB25" s="366"/>
      <c r="GC25" s="366"/>
      <c r="GD25" s="358"/>
      <c r="GE25" s="33"/>
      <c r="GF25" s="357"/>
      <c r="GG25" s="366"/>
      <c r="GH25" s="366"/>
      <c r="GI25" s="366"/>
      <c r="GJ25" s="366"/>
      <c r="GK25" s="358"/>
      <c r="GL25" s="33"/>
      <c r="GM25" s="357"/>
      <c r="GN25" s="366"/>
      <c r="GO25" s="366"/>
      <c r="GP25" s="366"/>
      <c r="GQ25" s="366"/>
      <c r="GR25" s="358"/>
      <c r="GS25" s="33"/>
      <c r="GT25" s="357"/>
      <c r="GU25" s="366"/>
      <c r="GV25" s="366"/>
      <c r="GW25" s="366"/>
      <c r="GX25" s="366"/>
      <c r="GY25" s="358"/>
      <c r="GZ25" s="33"/>
      <c r="HA25" s="357"/>
      <c r="HB25" s="366"/>
      <c r="HC25" s="366"/>
      <c r="HD25" s="366"/>
      <c r="HE25" s="366"/>
      <c r="HF25" s="358"/>
      <c r="HG25" s="33"/>
      <c r="HH25" s="357"/>
      <c r="HI25" s="366"/>
      <c r="HJ25" s="366"/>
      <c r="HK25" s="366"/>
      <c r="HL25" s="366"/>
      <c r="HM25" s="358"/>
      <c r="HN25" s="33"/>
      <c r="HO25" s="357"/>
      <c r="HP25" s="366"/>
      <c r="HQ25" s="366"/>
      <c r="HR25" s="366"/>
      <c r="HS25" s="366"/>
      <c r="HT25" s="358"/>
      <c r="HU25" s="33"/>
      <c r="HV25" s="127"/>
      <c r="HW25" s="33"/>
      <c r="HX25" s="33"/>
      <c r="HY25" s="33"/>
      <c r="HZ25" s="33"/>
      <c r="IA25" s="33"/>
      <c r="IB25" s="33"/>
      <c r="IC25" s="127"/>
      <c r="ID25" s="33"/>
      <c r="IE25" s="33"/>
      <c r="IF25" s="33"/>
      <c r="IG25" s="33"/>
      <c r="IH25" s="33"/>
      <c r="II25" s="127"/>
      <c r="IJ25" s="127"/>
      <c r="IK25" s="33"/>
      <c r="IL25" s="33"/>
      <c r="IM25" s="33"/>
      <c r="IN25" s="33"/>
      <c r="IO25" s="33"/>
      <c r="IP25" s="127"/>
      <c r="IQ25" s="127"/>
      <c r="IR25" s="33"/>
      <c r="IS25" s="33"/>
      <c r="IT25" s="33"/>
      <c r="IU25" s="33"/>
      <c r="IV25" s="33"/>
    </row>
    <row r="26" spans="1:256">
      <c r="A26" s="30" t="s">
        <v>344</v>
      </c>
      <c r="B26" s="30"/>
      <c r="C26" s="30"/>
      <c r="D26" s="30"/>
      <c r="E26" s="30"/>
      <c r="F26" s="357">
        <f>SUM(F18:F23)</f>
        <v>4318</v>
      </c>
      <c r="G26" s="366">
        <f>SUM(G18:G23)</f>
        <v>-602</v>
      </c>
      <c r="H26" s="366"/>
      <c r="I26" s="366">
        <f>SUM(I18:I23)</f>
        <v>0</v>
      </c>
      <c r="J26" s="366">
        <f>SUM(J18:J23)</f>
        <v>-88</v>
      </c>
      <c r="K26" s="358">
        <f>SUM(K18:K23)</f>
        <v>3628</v>
      </c>
      <c r="L26" s="33"/>
      <c r="M26" s="558">
        <f>SUM(M18:M23)</f>
        <v>0</v>
      </c>
      <c r="N26" s="477">
        <f>SUM(N18:N23)</f>
        <v>0</v>
      </c>
      <c r="O26" s="477"/>
      <c r="P26" s="477">
        <f>SUM(P18:P23)</f>
        <v>0</v>
      </c>
      <c r="Q26" s="477">
        <f>SUM(Q18:Q23)</f>
        <v>0</v>
      </c>
      <c r="R26" s="559">
        <f>SUM(R18:R23)</f>
        <v>0</v>
      </c>
      <c r="S26" s="366"/>
      <c r="T26" s="33">
        <f t="shared" ref="T26:Y26" si="11">SUM(T18:T23)</f>
        <v>4318</v>
      </c>
      <c r="U26" s="33">
        <f t="shared" si="11"/>
        <v>-602</v>
      </c>
      <c r="V26" s="33">
        <f t="shared" si="11"/>
        <v>0</v>
      </c>
      <c r="W26" s="33">
        <f t="shared" si="11"/>
        <v>0</v>
      </c>
      <c r="X26" s="33">
        <f t="shared" si="11"/>
        <v>-88</v>
      </c>
      <c r="Y26" s="33">
        <f t="shared" si="11"/>
        <v>3628</v>
      </c>
      <c r="Z26" s="33"/>
      <c r="AA26" s="558">
        <f>SUM(AA18:AA23)</f>
        <v>7131</v>
      </c>
      <c r="AB26" s="477">
        <f>SUM(AB18:AB23)</f>
        <v>932</v>
      </c>
      <c r="AC26" s="477"/>
      <c r="AD26" s="477">
        <f>SUM(AD18:AD23)</f>
        <v>0</v>
      </c>
      <c r="AE26" s="477">
        <f>SUM(AE18:AE23)</f>
        <v>-84</v>
      </c>
      <c r="AF26" s="559">
        <f>SUM(AF18:AF23)</f>
        <v>7979</v>
      </c>
      <c r="AG26" s="33"/>
      <c r="AH26" s="357">
        <f>SUM(AH18:AH23)</f>
        <v>3502</v>
      </c>
      <c r="AI26" s="366">
        <f>SUM(AI18:AI23)</f>
        <v>252</v>
      </c>
      <c r="AJ26" s="366"/>
      <c r="AK26" s="366">
        <f>SUM(AK18:AK23)</f>
        <v>0</v>
      </c>
      <c r="AL26" s="366">
        <f>SUM(AL18:AL23)</f>
        <v>-315</v>
      </c>
      <c r="AM26" s="358">
        <f>SUM(AM18:AM23)</f>
        <v>3439</v>
      </c>
      <c r="AN26" s="33"/>
      <c r="AO26" s="357">
        <f>SUM(AO18:AO23)</f>
        <v>2937</v>
      </c>
      <c r="AP26" s="366">
        <f>SUM(AP18:AP23)</f>
        <v>-66</v>
      </c>
      <c r="AQ26" s="366"/>
      <c r="AR26" s="366">
        <f>SUM(AR18:AR23)</f>
        <v>0</v>
      </c>
      <c r="AS26" s="366">
        <f>SUM(AS18:AS23)</f>
        <v>69</v>
      </c>
      <c r="AT26" s="358">
        <f>SUM(AT18:AT23)</f>
        <v>2940</v>
      </c>
      <c r="AU26" s="33"/>
      <c r="AV26" s="357">
        <f>SUM(AV18:AV23)</f>
        <v>2093</v>
      </c>
      <c r="AW26" s="366">
        <f>SUM(AW18:AW23)</f>
        <v>-167</v>
      </c>
      <c r="AX26" s="366"/>
      <c r="AY26" s="366">
        <f>SUM(AY18:AY23)</f>
        <v>0</v>
      </c>
      <c r="AZ26" s="366">
        <f>SUM(AZ18:AZ23)</f>
        <v>102</v>
      </c>
      <c r="BA26" s="358">
        <f>SUM(BA18:BA23)</f>
        <v>2028</v>
      </c>
      <c r="BB26" s="33"/>
      <c r="BC26" s="357">
        <f>SUM(BC18:BC23)</f>
        <v>5989</v>
      </c>
      <c r="BD26" s="366">
        <f>SUM(BD18:BD23)</f>
        <v>1273</v>
      </c>
      <c r="BE26" s="366"/>
      <c r="BF26" s="366">
        <f>SUM(BF18:BF23)</f>
        <v>0</v>
      </c>
      <c r="BG26" s="366">
        <f>SUM(BG18:BG23)</f>
        <v>-472</v>
      </c>
      <c r="BH26" s="358">
        <f>SUM(BH18:BH23)</f>
        <v>6785</v>
      </c>
      <c r="BI26" s="33"/>
      <c r="BJ26" s="357">
        <f>SUM(BJ18:BJ23)</f>
        <v>4112</v>
      </c>
      <c r="BK26" s="366">
        <f>SUM(BK18:BK23)</f>
        <v>1307</v>
      </c>
      <c r="BL26" s="366"/>
      <c r="BM26" s="366">
        <f>SUM(BM18:BM23)</f>
        <v>0</v>
      </c>
      <c r="BN26" s="366">
        <f>SUM(BN18:BN23)</f>
        <v>-834</v>
      </c>
      <c r="BO26" s="358">
        <f>SUM(BO18:BO23)</f>
        <v>4585</v>
      </c>
      <c r="BP26" s="33"/>
      <c r="BQ26" s="357">
        <f>SUM(BQ18:BQ23)</f>
        <v>1658</v>
      </c>
      <c r="BR26" s="366">
        <f>SUM(BR18:BR23)</f>
        <v>1692</v>
      </c>
      <c r="BS26" s="366"/>
      <c r="BT26" s="366">
        <f>SUM(BT18:BT23)</f>
        <v>0</v>
      </c>
      <c r="BU26" s="366">
        <f>SUM(BU18:BU23)</f>
        <v>-598</v>
      </c>
      <c r="BV26" s="358">
        <f>SUM(BV18:BV23)</f>
        <v>2753</v>
      </c>
      <c r="BW26" s="33"/>
      <c r="BX26" s="357">
        <f>SUM(BX18:BX23)</f>
        <v>-181</v>
      </c>
      <c r="BY26" s="366">
        <f>SUM(BY18:BY23)</f>
        <v>1133</v>
      </c>
      <c r="BZ26" s="366"/>
      <c r="CA26" s="366">
        <f>SUM(CA18:CA23)</f>
        <v>0</v>
      </c>
      <c r="CB26" s="366">
        <f>SUM(CB18:CB23)</f>
        <v>-668</v>
      </c>
      <c r="CC26" s="358">
        <f>SUM(CC18:CC23)</f>
        <v>283</v>
      </c>
      <c r="CD26" s="33"/>
      <c r="CE26" s="357">
        <f>SUM(CE18:CE23)</f>
        <v>-2802</v>
      </c>
      <c r="CF26" s="366">
        <f>SUM(CF18:CF23)</f>
        <v>415</v>
      </c>
      <c r="CG26" s="366"/>
      <c r="CH26" s="366">
        <f>SUM(CH18:CH23)</f>
        <v>361</v>
      </c>
      <c r="CI26" s="366">
        <f>SUM(CI18:CI23)</f>
        <v>1030</v>
      </c>
      <c r="CJ26" s="358">
        <f>SUM(CJ18:CJ23)</f>
        <v>-995</v>
      </c>
      <c r="CK26" s="33"/>
      <c r="CL26" s="357">
        <f>SUM(CL18:CL23)</f>
        <v>6768</v>
      </c>
      <c r="CM26" s="366">
        <f>SUM(CM18:CM23)</f>
        <v>1667</v>
      </c>
      <c r="CN26" s="366"/>
      <c r="CO26" s="366">
        <f>SUM(CO18:CO23)</f>
        <v>361</v>
      </c>
      <c r="CP26" s="366">
        <f>SUM(CP18:CP23)</f>
        <v>1030</v>
      </c>
      <c r="CQ26" s="358">
        <f>SUM(CQ18:CQ23)</f>
        <v>9982</v>
      </c>
      <c r="CR26" s="33"/>
      <c r="CS26" s="357">
        <f>SUM(CS18:CS23)</f>
        <v>9068</v>
      </c>
      <c r="CT26" s="366">
        <f>SUM(CT18:CT23)</f>
        <v>2750</v>
      </c>
      <c r="CU26" s="366"/>
      <c r="CV26" s="366">
        <f>SUM(CV18:CV23)</f>
        <v>361</v>
      </c>
      <c r="CW26" s="366">
        <f>SUM(CW18:CW23)</f>
        <v>26</v>
      </c>
      <c r="CX26" s="358">
        <f>SUM(CX18:CX23)</f>
        <v>12205</v>
      </c>
      <c r="CY26" s="33"/>
      <c r="CZ26" s="357">
        <f>SUM(CZ18:CZ23)</f>
        <v>5715</v>
      </c>
      <c r="DA26" s="366">
        <f>SUM(DA18:DA23)</f>
        <v>1750</v>
      </c>
      <c r="DB26" s="366"/>
      <c r="DC26" s="366">
        <f>SUM(DC18:DC23)</f>
        <v>361</v>
      </c>
      <c r="DD26" s="366">
        <f>SUM(DD18:DD23)</f>
        <v>157</v>
      </c>
      <c r="DE26" s="358">
        <f>SUM(DE18:DE23)</f>
        <v>7983</v>
      </c>
      <c r="DF26" s="33"/>
      <c r="DG26" s="357">
        <f>SUM(DG18:DG23)</f>
        <v>21644</v>
      </c>
      <c r="DH26" s="366">
        <f>SUM(DH18:DH23)</f>
        <v>2863</v>
      </c>
      <c r="DI26" s="366"/>
      <c r="DJ26" s="366">
        <f>SUM(DJ18:DJ23)</f>
        <v>-361</v>
      </c>
      <c r="DK26" s="366">
        <f>SUM(DK18:DK23)</f>
        <v>308</v>
      </c>
      <c r="DL26" s="358">
        <f>SUM(DL18:DL23)</f>
        <v>24454</v>
      </c>
      <c r="DM26" s="33"/>
      <c r="DN26" s="357">
        <f>SUM(DN18:DN23)</f>
        <v>17269</v>
      </c>
      <c r="DO26" s="366">
        <f>SUM(DO18:DO23)</f>
        <v>1718</v>
      </c>
      <c r="DP26" s="366"/>
      <c r="DQ26" s="366"/>
      <c r="DR26" s="366">
        <f>SUM(DR18:DR23)</f>
        <v>71</v>
      </c>
      <c r="DS26" s="358">
        <f>SUM(DS18:DS23)</f>
        <v>19058</v>
      </c>
      <c r="DT26" s="33"/>
      <c r="DU26" s="357">
        <f>SUM(DU18:DU23)</f>
        <v>14038</v>
      </c>
      <c r="DV26" s="366">
        <f>SUM(DV18:DV23)</f>
        <v>2005</v>
      </c>
      <c r="DW26" s="366"/>
      <c r="DX26" s="366"/>
      <c r="DY26" s="366">
        <f>SUM(DY18:DY23)</f>
        <v>-115</v>
      </c>
      <c r="DZ26" s="358">
        <f>SUM(DZ18:DZ23)</f>
        <v>15928</v>
      </c>
      <c r="EA26" s="33"/>
      <c r="EB26" s="357">
        <f>SUM(EB18:EB23)</f>
        <v>7991</v>
      </c>
      <c r="EC26" s="366">
        <f>SUM(EC18:EC23)</f>
        <v>1595</v>
      </c>
      <c r="ED26" s="366"/>
      <c r="EE26" s="366"/>
      <c r="EF26" s="366">
        <f>SUM(EF18:EF23)</f>
        <v>-22</v>
      </c>
      <c r="EG26" s="358">
        <f>SUM(EG18:EG23)</f>
        <v>9564</v>
      </c>
      <c r="EH26" s="33"/>
      <c r="EI26" s="357">
        <f>SUM(EI18:EI23)</f>
        <v>3409</v>
      </c>
      <c r="EJ26" s="366">
        <f>SUM(EJ18:EJ23)</f>
        <v>415</v>
      </c>
      <c r="EK26" s="366"/>
      <c r="EL26" s="366"/>
      <c r="EM26" s="366">
        <f>SUM(EM18:EM23)</f>
        <v>-344</v>
      </c>
      <c r="EN26" s="358">
        <f>SUM(EN18:EN23)</f>
        <v>3480</v>
      </c>
      <c r="EO26" s="33"/>
      <c r="EP26" s="357">
        <f>SUM(EP18:EP23)</f>
        <v>20206</v>
      </c>
      <c r="EQ26" s="366">
        <f>SUM(EQ18:EQ23)</f>
        <v>4965</v>
      </c>
      <c r="ER26" s="366"/>
      <c r="ES26" s="366"/>
      <c r="ET26" s="366">
        <f>SUM(ET18:ET23)</f>
        <v>-7719</v>
      </c>
      <c r="EU26" s="358">
        <f>SUM(EU18:EU23)</f>
        <v>17452</v>
      </c>
      <c r="EV26" s="33"/>
      <c r="EW26" s="357">
        <f>SUM(EW18:EW23)</f>
        <v>11671</v>
      </c>
      <c r="EX26" s="366">
        <f>SUM(EX18:EX23)</f>
        <v>4065</v>
      </c>
      <c r="EY26" s="366"/>
      <c r="EZ26" s="366"/>
      <c r="FA26" s="366">
        <f>SUM(FA18:FA23)</f>
        <v>-82</v>
      </c>
      <c r="FB26" s="358">
        <f>SUM(FB18:FB23)</f>
        <v>15654</v>
      </c>
      <c r="FC26" s="33"/>
      <c r="FD26" s="357">
        <f>SUM(FD18:FD23)</f>
        <v>8435</v>
      </c>
      <c r="FE26" s="366">
        <f>SUM(FE18:FE23)</f>
        <v>4147</v>
      </c>
      <c r="FF26" s="366"/>
      <c r="FG26" s="366"/>
      <c r="FH26" s="366">
        <f>SUM(FH18:FH23)</f>
        <v>12</v>
      </c>
      <c r="FI26" s="358">
        <f>SUM(FI18:FI23)</f>
        <v>12594</v>
      </c>
      <c r="FJ26" s="33"/>
      <c r="FK26" s="357">
        <f>SUM(FK18:FK23)</f>
        <v>4825</v>
      </c>
      <c r="FL26" s="366">
        <f>SUM(FL18:FL23)</f>
        <v>2590</v>
      </c>
      <c r="FM26" s="366"/>
      <c r="FN26" s="366"/>
      <c r="FO26" s="366">
        <f>SUM(FO18:FO23)</f>
        <v>-627</v>
      </c>
      <c r="FP26" s="358">
        <f>SUM(FP18:FP23)</f>
        <v>6788</v>
      </c>
      <c r="FQ26" s="33"/>
      <c r="FR26" s="357">
        <f>SUM(FR18:FR23)</f>
        <v>14382</v>
      </c>
      <c r="FS26" s="366">
        <f>SUM(FS18:FS23)</f>
        <v>7553</v>
      </c>
      <c r="FT26" s="366"/>
      <c r="FU26" s="366"/>
      <c r="FV26" s="366">
        <f>SUM(FV18:FV23)</f>
        <v>203</v>
      </c>
      <c r="FW26" s="358">
        <f>SUM(FW18:FW23)</f>
        <v>22138</v>
      </c>
      <c r="FX26" s="33"/>
      <c r="FY26" s="357">
        <f>SUM(FY18:FY23)</f>
        <v>11172</v>
      </c>
      <c r="FZ26" s="366">
        <f>SUM(FZ18:FZ23)</f>
        <v>6090</v>
      </c>
      <c r="GA26" s="366"/>
      <c r="GB26" s="366"/>
      <c r="GC26" s="366">
        <f>SUM(GC18:GC23)</f>
        <v>577</v>
      </c>
      <c r="GD26" s="358">
        <f>SUM(GD18:GD23)</f>
        <v>17839</v>
      </c>
      <c r="GE26" s="33"/>
      <c r="GF26" s="357">
        <f>SUM(GF18:GF23)</f>
        <v>6891</v>
      </c>
      <c r="GG26" s="366">
        <f>SUM(GG18:GG23)</f>
        <v>5298</v>
      </c>
      <c r="GH26" s="366"/>
      <c r="GI26" s="366"/>
      <c r="GJ26" s="366">
        <f>SUM(GJ18:GJ23)</f>
        <v>387</v>
      </c>
      <c r="GK26" s="358">
        <f>SUM(GK18:GK23)</f>
        <v>12576</v>
      </c>
      <c r="GL26" s="33"/>
      <c r="GM26" s="357">
        <f>SUM(GM18:GM23)</f>
        <v>2907</v>
      </c>
      <c r="GN26" s="366">
        <f>SUM(GN18:GN23)</f>
        <v>2441</v>
      </c>
      <c r="GO26" s="366"/>
      <c r="GP26" s="366"/>
      <c r="GQ26" s="366">
        <f>SUM(GQ18:GQ23)</f>
        <v>85</v>
      </c>
      <c r="GR26" s="358">
        <f>SUM(GR18:GR23)</f>
        <v>5433</v>
      </c>
      <c r="GS26" s="33"/>
      <c r="GT26" s="357">
        <f>SUM(GT18:GT23)</f>
        <v>37259</v>
      </c>
      <c r="GU26" s="366">
        <f>SUM(GU18:GU23)</f>
        <v>6825</v>
      </c>
      <c r="GV26" s="366"/>
      <c r="GW26" s="366"/>
      <c r="GX26" s="366">
        <f>SUM(GX18:GX23)</f>
        <v>-436</v>
      </c>
      <c r="GY26" s="358">
        <f>SUM(GY18:GY23)</f>
        <v>43648</v>
      </c>
      <c r="GZ26" s="33"/>
      <c r="HA26" s="357">
        <f>SUM(HA18:HA23)</f>
        <v>34573</v>
      </c>
      <c r="HB26" s="366">
        <f>SUM(HB18:HB23)</f>
        <v>5390</v>
      </c>
      <c r="HC26" s="366"/>
      <c r="HD26" s="366"/>
      <c r="HE26" s="366">
        <f>SUM(HE18:HE23)</f>
        <v>-165</v>
      </c>
      <c r="HF26" s="358">
        <f>SUM(HF18:HF23)</f>
        <v>39798</v>
      </c>
      <c r="HG26" s="33"/>
      <c r="HH26" s="357">
        <f>SUM(HH18:HH23)</f>
        <v>6366</v>
      </c>
      <c r="HI26" s="366">
        <f>SUM(HI18:HI23)</f>
        <v>4190</v>
      </c>
      <c r="HJ26" s="366"/>
      <c r="HK26" s="366"/>
      <c r="HL26" s="366">
        <f>SUM(HL18:HL23)</f>
        <v>-31</v>
      </c>
      <c r="HM26" s="358">
        <f>SUM(HM18:HM23)</f>
        <v>10525</v>
      </c>
      <c r="HN26" s="33"/>
      <c r="HO26" s="357">
        <f>SUM(HO18:HO23)</f>
        <v>2245</v>
      </c>
      <c r="HP26" s="366">
        <f>SUM(HP18:HP23)</f>
        <v>2196</v>
      </c>
      <c r="HQ26" s="366"/>
      <c r="HR26" s="366"/>
      <c r="HS26" s="366">
        <f>SUM(HS18:HS23)</f>
        <v>27</v>
      </c>
      <c r="HT26" s="358">
        <f>SUM(HT18:HT23)</f>
        <v>4468</v>
      </c>
      <c r="HU26" s="33"/>
      <c r="HV26" s="127">
        <f t="shared" ref="HV26:IA26" si="12">SUM(HV18:HV23)</f>
        <v>-7754</v>
      </c>
      <c r="HW26" s="127">
        <f t="shared" si="12"/>
        <v>3232</v>
      </c>
      <c r="HX26" s="127">
        <f t="shared" si="12"/>
        <v>-3548</v>
      </c>
      <c r="HY26" s="127">
        <f t="shared" si="12"/>
        <v>43</v>
      </c>
      <c r="HZ26" s="127">
        <f t="shared" si="12"/>
        <v>3515</v>
      </c>
      <c r="IA26" s="127">
        <f t="shared" si="12"/>
        <v>-4512</v>
      </c>
      <c r="IB26" s="33"/>
      <c r="IC26" s="127">
        <f t="shared" ref="IC26:IH26" si="13">SUM(IC18:IC23)</f>
        <v>-7521</v>
      </c>
      <c r="ID26" s="127">
        <f t="shared" si="13"/>
        <v>2647</v>
      </c>
      <c r="IE26" s="127">
        <f t="shared" si="13"/>
        <v>-2154</v>
      </c>
      <c r="IF26" s="127">
        <f t="shared" si="13"/>
        <v>43</v>
      </c>
      <c r="IG26" s="127">
        <f t="shared" si="13"/>
        <v>267</v>
      </c>
      <c r="IH26" s="127">
        <f t="shared" si="13"/>
        <v>-6718</v>
      </c>
      <c r="II26" s="127"/>
      <c r="IJ26" s="127">
        <v>7153</v>
      </c>
      <c r="IK26" s="127">
        <v>2766</v>
      </c>
      <c r="IL26" s="127">
        <v>-728</v>
      </c>
      <c r="IM26" s="127">
        <v>43</v>
      </c>
      <c r="IN26" s="127">
        <v>-2984</v>
      </c>
      <c r="IO26" s="127">
        <v>6250</v>
      </c>
      <c r="IP26" s="127"/>
      <c r="IQ26" s="127">
        <f t="shared" ref="IQ26:IV26" si="14">SUM(IQ18:IQ23)</f>
        <v>1772</v>
      </c>
      <c r="IR26" s="127">
        <f t="shared" si="14"/>
        <v>1278</v>
      </c>
      <c r="IS26" s="127">
        <f t="shared" si="14"/>
        <v>-196</v>
      </c>
      <c r="IT26" s="127">
        <f t="shared" si="14"/>
        <v>59</v>
      </c>
      <c r="IU26" s="127">
        <f t="shared" si="14"/>
        <v>-56</v>
      </c>
      <c r="IV26" s="127">
        <f t="shared" si="14"/>
        <v>2857</v>
      </c>
    </row>
    <row r="27" spans="1:256">
      <c r="A27" s="30"/>
      <c r="B27" s="30"/>
      <c r="C27" s="30"/>
      <c r="D27" s="30"/>
      <c r="E27" s="30"/>
      <c r="F27" s="357"/>
      <c r="G27" s="366"/>
      <c r="H27" s="366"/>
      <c r="I27" s="366"/>
      <c r="J27" s="366"/>
      <c r="K27" s="358"/>
      <c r="L27" s="33"/>
      <c r="M27" s="558"/>
      <c r="N27" s="477"/>
      <c r="O27" s="477"/>
      <c r="P27" s="477"/>
      <c r="Q27" s="477"/>
      <c r="R27" s="559"/>
      <c r="S27" s="366"/>
      <c r="T27" s="33"/>
      <c r="U27" s="33"/>
      <c r="V27" s="33"/>
      <c r="W27" s="33"/>
      <c r="X27" s="33"/>
      <c r="Y27" s="33"/>
      <c r="Z27" s="33"/>
      <c r="AA27" s="558"/>
      <c r="AB27" s="477"/>
      <c r="AC27" s="477"/>
      <c r="AD27" s="477"/>
      <c r="AE27" s="477"/>
      <c r="AF27" s="559"/>
      <c r="AG27" s="33"/>
      <c r="AH27" s="357"/>
      <c r="AI27" s="366"/>
      <c r="AJ27" s="366"/>
      <c r="AK27" s="366"/>
      <c r="AL27" s="366"/>
      <c r="AM27" s="358"/>
      <c r="AN27" s="33"/>
      <c r="AO27" s="357"/>
      <c r="AP27" s="366"/>
      <c r="AQ27" s="366"/>
      <c r="AR27" s="366"/>
      <c r="AS27" s="366"/>
      <c r="AT27" s="358"/>
      <c r="AU27" s="33"/>
      <c r="AV27" s="357"/>
      <c r="AW27" s="366"/>
      <c r="AX27" s="366"/>
      <c r="AY27" s="366"/>
      <c r="AZ27" s="366"/>
      <c r="BA27" s="358"/>
      <c r="BB27" s="33"/>
      <c r="BC27" s="357"/>
      <c r="BD27" s="366"/>
      <c r="BE27" s="366"/>
      <c r="BF27" s="366"/>
      <c r="BG27" s="366"/>
      <c r="BH27" s="358"/>
      <c r="BI27" s="33"/>
      <c r="BJ27" s="357"/>
      <c r="BK27" s="366"/>
      <c r="BL27" s="366"/>
      <c r="BM27" s="366"/>
      <c r="BN27" s="366"/>
      <c r="BO27" s="358"/>
      <c r="BP27" s="33"/>
      <c r="BQ27" s="357"/>
      <c r="BR27" s="366"/>
      <c r="BS27" s="366"/>
      <c r="BT27" s="366"/>
      <c r="BU27" s="366"/>
      <c r="BV27" s="358"/>
      <c r="BW27" s="33"/>
      <c r="BX27" s="357"/>
      <c r="BY27" s="366"/>
      <c r="BZ27" s="366"/>
      <c r="CA27" s="366"/>
      <c r="CB27" s="366"/>
      <c r="CC27" s="358"/>
      <c r="CD27" s="33"/>
      <c r="CE27" s="357"/>
      <c r="CF27" s="366"/>
      <c r="CG27" s="366"/>
      <c r="CH27" s="366"/>
      <c r="CI27" s="366"/>
      <c r="CJ27" s="358"/>
      <c r="CK27" s="33"/>
      <c r="CL27" s="357"/>
      <c r="CM27" s="366"/>
      <c r="CN27" s="366"/>
      <c r="CO27" s="366"/>
      <c r="CP27" s="366"/>
      <c r="CQ27" s="358"/>
      <c r="CR27" s="33"/>
      <c r="CS27" s="357"/>
      <c r="CT27" s="366"/>
      <c r="CU27" s="366"/>
      <c r="CV27" s="366"/>
      <c r="CW27" s="366"/>
      <c r="CX27" s="358"/>
      <c r="CY27" s="33"/>
      <c r="CZ27" s="357"/>
      <c r="DA27" s="366"/>
      <c r="DB27" s="366"/>
      <c r="DC27" s="366"/>
      <c r="DD27" s="366"/>
      <c r="DE27" s="358"/>
      <c r="DF27" s="33"/>
      <c r="DG27" s="357"/>
      <c r="DH27" s="366"/>
      <c r="DI27" s="366"/>
      <c r="DJ27" s="366"/>
      <c r="DK27" s="366"/>
      <c r="DL27" s="358"/>
      <c r="DM27" s="33"/>
      <c r="DN27" s="357"/>
      <c r="DO27" s="366"/>
      <c r="DP27" s="366"/>
      <c r="DQ27" s="366"/>
      <c r="DR27" s="366"/>
      <c r="DS27" s="358"/>
      <c r="DT27" s="33"/>
      <c r="DU27" s="357"/>
      <c r="DV27" s="366"/>
      <c r="DW27" s="366"/>
      <c r="DX27" s="366"/>
      <c r="DY27" s="366"/>
      <c r="DZ27" s="358"/>
      <c r="EA27" s="33"/>
      <c r="EB27" s="357"/>
      <c r="EC27" s="366"/>
      <c r="ED27" s="366"/>
      <c r="EE27" s="366"/>
      <c r="EF27" s="366"/>
      <c r="EG27" s="358"/>
      <c r="EH27" s="33"/>
      <c r="EI27" s="357"/>
      <c r="EJ27" s="366"/>
      <c r="EK27" s="366"/>
      <c r="EL27" s="366"/>
      <c r="EM27" s="366"/>
      <c r="EN27" s="358"/>
      <c r="EO27" s="33"/>
      <c r="EP27" s="357"/>
      <c r="EQ27" s="366"/>
      <c r="ER27" s="366"/>
      <c r="ES27" s="366"/>
      <c r="ET27" s="366"/>
      <c r="EU27" s="358"/>
      <c r="EV27" s="33"/>
      <c r="EW27" s="357"/>
      <c r="EX27" s="366"/>
      <c r="EY27" s="366"/>
      <c r="EZ27" s="366"/>
      <c r="FA27" s="366"/>
      <c r="FB27" s="358"/>
      <c r="FC27" s="33"/>
      <c r="FD27" s="357"/>
      <c r="FE27" s="366"/>
      <c r="FF27" s="366"/>
      <c r="FG27" s="366"/>
      <c r="FH27" s="366"/>
      <c r="FI27" s="358"/>
      <c r="FJ27" s="33"/>
      <c r="FK27" s="357"/>
      <c r="FL27" s="366"/>
      <c r="FM27" s="366"/>
      <c r="FN27" s="366"/>
      <c r="FO27" s="366"/>
      <c r="FP27" s="358"/>
      <c r="FQ27" s="33"/>
      <c r="FR27" s="357"/>
      <c r="FS27" s="366"/>
      <c r="FT27" s="366"/>
      <c r="FU27" s="366"/>
      <c r="FV27" s="366"/>
      <c r="FW27" s="358"/>
      <c r="FX27" s="33"/>
      <c r="FY27" s="357"/>
      <c r="FZ27" s="366"/>
      <c r="GA27" s="366"/>
      <c r="GB27" s="366"/>
      <c r="GC27" s="366"/>
      <c r="GD27" s="358"/>
      <c r="GE27" s="33"/>
      <c r="GF27" s="357"/>
      <c r="GG27" s="366"/>
      <c r="GH27" s="366"/>
      <c r="GI27" s="366"/>
      <c r="GJ27" s="366"/>
      <c r="GK27" s="358"/>
      <c r="GL27" s="33"/>
      <c r="GM27" s="357"/>
      <c r="GN27" s="366"/>
      <c r="GO27" s="366"/>
      <c r="GP27" s="366"/>
      <c r="GQ27" s="366"/>
      <c r="GR27" s="358"/>
      <c r="GS27" s="33"/>
      <c r="GT27" s="357"/>
      <c r="GU27" s="366"/>
      <c r="GV27" s="366"/>
      <c r="GW27" s="366"/>
      <c r="GX27" s="366"/>
      <c r="GY27" s="358"/>
      <c r="GZ27" s="33"/>
      <c r="HA27" s="357"/>
      <c r="HB27" s="366"/>
      <c r="HC27" s="366"/>
      <c r="HD27" s="366"/>
      <c r="HE27" s="366"/>
      <c r="HF27" s="358"/>
      <c r="HG27" s="33"/>
      <c r="HH27" s="357"/>
      <c r="HI27" s="366"/>
      <c r="HJ27" s="366"/>
      <c r="HK27" s="366"/>
      <c r="HL27" s="366"/>
      <c r="HM27" s="358"/>
      <c r="HN27" s="33"/>
      <c r="HO27" s="357"/>
      <c r="HP27" s="366"/>
      <c r="HQ27" s="366"/>
      <c r="HR27" s="366"/>
      <c r="HS27" s="366"/>
      <c r="HT27" s="358"/>
      <c r="HU27" s="33"/>
      <c r="HV27" s="127"/>
      <c r="HW27" s="33"/>
      <c r="HX27" s="33"/>
      <c r="HY27" s="33"/>
      <c r="HZ27" s="33"/>
      <c r="IA27" s="33"/>
      <c r="IB27" s="33"/>
      <c r="IC27" s="127"/>
      <c r="ID27" s="33"/>
      <c r="IE27" s="33"/>
      <c r="IF27" s="33"/>
      <c r="IG27" s="33"/>
      <c r="IH27" s="33"/>
      <c r="II27" s="127"/>
      <c r="IJ27" s="127"/>
      <c r="IK27" s="33"/>
      <c r="IL27" s="33"/>
      <c r="IM27" s="33"/>
      <c r="IN27" s="33"/>
      <c r="IO27" s="33"/>
      <c r="IP27" s="127"/>
      <c r="IQ27" s="127"/>
      <c r="IR27" s="33"/>
      <c r="IS27" s="33"/>
      <c r="IT27" s="33"/>
      <c r="IU27" s="33"/>
      <c r="IV27" s="33"/>
    </row>
    <row r="28" spans="1:256">
      <c r="A28" s="30" t="s">
        <v>345</v>
      </c>
      <c r="B28" s="30"/>
      <c r="C28" s="30"/>
      <c r="D28" s="30"/>
      <c r="E28" s="198">
        <v>10</v>
      </c>
      <c r="F28" s="373">
        <v>-1128</v>
      </c>
      <c r="G28" s="363">
        <v>0</v>
      </c>
      <c r="H28" s="363"/>
      <c r="I28" s="363"/>
      <c r="J28" s="363"/>
      <c r="K28" s="362">
        <f>SUM(F28:J28)</f>
        <v>-1128</v>
      </c>
      <c r="L28" s="33"/>
      <c r="M28" s="565"/>
      <c r="N28" s="563"/>
      <c r="O28" s="563"/>
      <c r="P28" s="563"/>
      <c r="Q28" s="563"/>
      <c r="R28" s="564">
        <f>SUM(M28:Q28)</f>
        <v>0</v>
      </c>
      <c r="S28" s="366"/>
      <c r="T28" s="363">
        <f t="shared" ref="T28:Y28" si="15">+F28-M28</f>
        <v>-1128</v>
      </c>
      <c r="U28" s="363">
        <f t="shared" si="15"/>
        <v>0</v>
      </c>
      <c r="V28" s="363">
        <f t="shared" si="15"/>
        <v>0</v>
      </c>
      <c r="W28" s="363">
        <f t="shared" si="15"/>
        <v>0</v>
      </c>
      <c r="X28" s="363">
        <f t="shared" si="15"/>
        <v>0</v>
      </c>
      <c r="Y28" s="363">
        <f t="shared" si="15"/>
        <v>-1128</v>
      </c>
      <c r="Z28" s="33"/>
      <c r="AA28" s="565">
        <v>-1746</v>
      </c>
      <c r="AB28" s="563">
        <v>-83</v>
      </c>
      <c r="AC28" s="563"/>
      <c r="AD28" s="563"/>
      <c r="AE28" s="563"/>
      <c r="AF28" s="564">
        <f>SUM(AA28:AE28)</f>
        <v>-1829</v>
      </c>
      <c r="AG28" s="33"/>
      <c r="AH28" s="373">
        <v>-748</v>
      </c>
      <c r="AI28" s="363">
        <v>19</v>
      </c>
      <c r="AJ28" s="363"/>
      <c r="AK28" s="363"/>
      <c r="AL28" s="363"/>
      <c r="AM28" s="362">
        <f>SUM(AH28:AL28)</f>
        <v>-729</v>
      </c>
      <c r="AN28" s="33"/>
      <c r="AO28" s="373">
        <v>-675</v>
      </c>
      <c r="AP28" s="363">
        <v>0</v>
      </c>
      <c r="AQ28" s="363"/>
      <c r="AR28" s="363"/>
      <c r="AS28" s="363"/>
      <c r="AT28" s="362">
        <f>SUM(AO28:AS28)</f>
        <v>-675</v>
      </c>
      <c r="AU28" s="33"/>
      <c r="AV28" s="373">
        <v>-523</v>
      </c>
      <c r="AW28" s="363">
        <v>20</v>
      </c>
      <c r="AX28" s="363"/>
      <c r="AY28" s="363"/>
      <c r="AZ28" s="363"/>
      <c r="BA28" s="362">
        <f>SUM(AV28:AZ28)</f>
        <v>-503</v>
      </c>
      <c r="BB28" s="33"/>
      <c r="BC28" s="373">
        <v>-959</v>
      </c>
      <c r="BD28" s="363">
        <v>-138</v>
      </c>
      <c r="BE28" s="363"/>
      <c r="BF28" s="363"/>
      <c r="BG28" s="363"/>
      <c r="BH28" s="362">
        <f>SUM(BC28:BG28)</f>
        <v>-1097</v>
      </c>
      <c r="BI28" s="33"/>
      <c r="BJ28" s="373">
        <v>-288</v>
      </c>
      <c r="BK28" s="363">
        <v>-37</v>
      </c>
      <c r="BL28" s="363"/>
      <c r="BM28" s="363"/>
      <c r="BN28" s="363"/>
      <c r="BO28" s="362">
        <f>SUM(BJ28:BN28)</f>
        <v>-325</v>
      </c>
      <c r="BP28" s="33"/>
      <c r="BQ28" s="373">
        <v>-509</v>
      </c>
      <c r="BR28" s="363">
        <v>-423</v>
      </c>
      <c r="BS28" s="363"/>
      <c r="BT28" s="363"/>
      <c r="BU28" s="363"/>
      <c r="BV28" s="362">
        <f>SUM(BQ28:BU28)</f>
        <v>-932</v>
      </c>
      <c r="BW28" s="33"/>
      <c r="BX28" s="373">
        <v>71</v>
      </c>
      <c r="BY28" s="363">
        <v>-283</v>
      </c>
      <c r="BZ28" s="363"/>
      <c r="CA28" s="363"/>
      <c r="CB28" s="363"/>
      <c r="CC28" s="362">
        <f>SUM(BX28:CB28)</f>
        <v>-212</v>
      </c>
      <c r="CD28" s="33"/>
      <c r="CE28" s="373">
        <v>597</v>
      </c>
      <c r="CF28" s="363">
        <v>-240</v>
      </c>
      <c r="CG28" s="363"/>
      <c r="CH28" s="363"/>
      <c r="CI28" s="363"/>
      <c r="CJ28" s="362">
        <f>SUM(CE28:CI28)</f>
        <v>357</v>
      </c>
      <c r="CK28" s="33"/>
      <c r="CL28" s="373">
        <v>-1643</v>
      </c>
      <c r="CM28" s="363">
        <v>-452</v>
      </c>
      <c r="CN28" s="363"/>
      <c r="CO28" s="363"/>
      <c r="CP28" s="363"/>
      <c r="CQ28" s="362">
        <f>SUM(CL28:CP28)</f>
        <v>-2095</v>
      </c>
      <c r="CR28" s="33"/>
      <c r="CS28" s="373">
        <v>-2348</v>
      </c>
      <c r="CT28" s="363">
        <v>-670</v>
      </c>
      <c r="CU28" s="363"/>
      <c r="CV28" s="363"/>
      <c r="CW28" s="363"/>
      <c r="CX28" s="362">
        <f>SUM(CS28:CW28)</f>
        <v>-3018</v>
      </c>
      <c r="CY28" s="33"/>
      <c r="CZ28" s="373">
        <f>-1520+175</f>
        <v>-1345</v>
      </c>
      <c r="DA28" s="363">
        <f>-495+90</f>
        <v>-405</v>
      </c>
      <c r="DB28" s="363"/>
      <c r="DC28" s="363"/>
      <c r="DD28" s="363"/>
      <c r="DE28" s="362">
        <f>SUM(CZ28:DD28)</f>
        <v>-1750</v>
      </c>
      <c r="DF28" s="33"/>
      <c r="DG28" s="373">
        <f>-5859-1437+1090+343</f>
        <v>-5863</v>
      </c>
      <c r="DH28" s="363">
        <f>-456-318+308+88</f>
        <v>-378</v>
      </c>
      <c r="DI28" s="363"/>
      <c r="DJ28" s="363"/>
      <c r="DK28" s="363"/>
      <c r="DL28" s="362">
        <f>SUM(DG28:DK28)</f>
        <v>-6241</v>
      </c>
      <c r="DM28" s="33"/>
      <c r="DN28" s="373">
        <f>-5859+1090</f>
        <v>-4769</v>
      </c>
      <c r="DO28" s="363">
        <f>-456+308</f>
        <v>-148</v>
      </c>
      <c r="DP28" s="363"/>
      <c r="DQ28" s="363"/>
      <c r="DR28" s="363"/>
      <c r="DS28" s="362">
        <f>SUM(DN28:DR28)</f>
        <v>-4917</v>
      </c>
      <c r="DT28" s="33"/>
      <c r="DU28" s="373">
        <f>-4640+907</f>
        <v>-3733</v>
      </c>
      <c r="DV28" s="363">
        <f>-550+230</f>
        <v>-320</v>
      </c>
      <c r="DW28" s="363"/>
      <c r="DX28" s="363"/>
      <c r="DY28" s="363"/>
      <c r="DZ28" s="362">
        <f>SUM(DU28:DY28)</f>
        <v>-4053</v>
      </c>
      <c r="EA28" s="33"/>
      <c r="EB28" s="373">
        <f>-2720+394</f>
        <v>-2326</v>
      </c>
      <c r="EC28" s="363">
        <f>-540+120</f>
        <v>-420</v>
      </c>
      <c r="ED28" s="363"/>
      <c r="EE28" s="363"/>
      <c r="EF28" s="363"/>
      <c r="EG28" s="362">
        <f>SUM(EB28:EF28)</f>
        <v>-2746</v>
      </c>
      <c r="EH28" s="33"/>
      <c r="EI28" s="373">
        <f>-1170+196</f>
        <v>-974</v>
      </c>
      <c r="EJ28" s="363">
        <f>-150+40</f>
        <v>-110</v>
      </c>
      <c r="EK28" s="363"/>
      <c r="EL28" s="363"/>
      <c r="EM28" s="363"/>
      <c r="EN28" s="362">
        <f>SUM(EI28:EM28)</f>
        <v>-1084</v>
      </c>
      <c r="EO28" s="33"/>
      <c r="EP28" s="373">
        <f>-4751+875+795</f>
        <v>-3081</v>
      </c>
      <c r="EQ28" s="363">
        <f>-930+280+245</f>
        <v>-405</v>
      </c>
      <c r="ER28" s="363"/>
      <c r="ES28" s="363"/>
      <c r="ET28" s="363"/>
      <c r="EU28" s="362">
        <f>SUM(EP28:ET28)</f>
        <v>-3486</v>
      </c>
      <c r="EV28" s="33"/>
      <c r="EW28" s="373">
        <f>-3908+667</f>
        <v>-3241</v>
      </c>
      <c r="EX28" s="363">
        <f>-635+280</f>
        <v>-355</v>
      </c>
      <c r="EY28" s="363"/>
      <c r="EZ28" s="363"/>
      <c r="FA28" s="363"/>
      <c r="FB28" s="362">
        <f>SUM(EW28:FA28)</f>
        <v>-3596</v>
      </c>
      <c r="FC28" s="33"/>
      <c r="FD28" s="373">
        <v>-2150</v>
      </c>
      <c r="FE28" s="363">
        <v>-650</v>
      </c>
      <c r="FF28" s="363"/>
      <c r="FG28" s="363"/>
      <c r="FH28" s="363"/>
      <c r="FI28" s="362">
        <f>SUM(FD28:FH28)</f>
        <v>-2800</v>
      </c>
      <c r="FJ28" s="33"/>
      <c r="FK28" s="373">
        <v>-1270</v>
      </c>
      <c r="FL28" s="363">
        <v>-445</v>
      </c>
      <c r="FM28" s="363"/>
      <c r="FN28" s="363"/>
      <c r="FO28" s="363"/>
      <c r="FP28" s="362">
        <f>SUM(FK28:FO28)</f>
        <v>-1715</v>
      </c>
      <c r="FQ28" s="33"/>
      <c r="FR28" s="373">
        <v>-3695</v>
      </c>
      <c r="FS28" s="363">
        <v>-608</v>
      </c>
      <c r="FT28" s="363"/>
      <c r="FU28" s="363"/>
      <c r="FV28" s="363"/>
      <c r="FW28" s="362">
        <f>SUM(FR28:FV28)</f>
        <v>-4303</v>
      </c>
      <c r="FX28" s="33"/>
      <c r="FY28" s="373">
        <f>-4083+1308</f>
        <v>-2775</v>
      </c>
      <c r="FZ28" s="363">
        <f>-350-131</f>
        <v>-481</v>
      </c>
      <c r="GA28" s="363"/>
      <c r="GB28" s="363"/>
      <c r="GC28" s="363"/>
      <c r="GD28" s="362">
        <f>SUM(FY28:GC28)</f>
        <v>-3256</v>
      </c>
      <c r="GE28" s="33"/>
      <c r="GF28" s="373">
        <f>-2740+775</f>
        <v>-1965</v>
      </c>
      <c r="GG28" s="363">
        <f>-309-97</f>
        <v>-406</v>
      </c>
      <c r="GH28" s="363"/>
      <c r="GI28" s="363"/>
      <c r="GJ28" s="363"/>
      <c r="GK28" s="362">
        <f>SUM(GF28:GJ28)</f>
        <v>-2371</v>
      </c>
      <c r="GL28" s="33"/>
      <c r="GM28" s="373">
        <f>-1159+389</f>
        <v>-770</v>
      </c>
      <c r="GN28" s="363">
        <f>-137-45</f>
        <v>-182</v>
      </c>
      <c r="GO28" s="363"/>
      <c r="GP28" s="363"/>
      <c r="GQ28" s="363"/>
      <c r="GR28" s="362">
        <f>SUM(GM28:GQ28)</f>
        <v>-952</v>
      </c>
      <c r="GS28" s="33"/>
      <c r="GT28" s="373">
        <f>-5429+2026</f>
        <v>-3403</v>
      </c>
      <c r="GU28" s="363">
        <f>-56-560</f>
        <v>-616</v>
      </c>
      <c r="GV28" s="363"/>
      <c r="GW28" s="363"/>
      <c r="GX28" s="363"/>
      <c r="GY28" s="362">
        <f>SUM(GT28:GX28)</f>
        <v>-4019</v>
      </c>
      <c r="GZ28" s="33"/>
      <c r="HA28" s="373">
        <f>-3743+1172-124</f>
        <v>-2695</v>
      </c>
      <c r="HB28" s="363">
        <f>-46-583</f>
        <v>-629</v>
      </c>
      <c r="HC28" s="363"/>
      <c r="HD28" s="363"/>
      <c r="HE28" s="363"/>
      <c r="HF28" s="362">
        <f>SUM(HA28:HE28)</f>
        <v>-3324</v>
      </c>
      <c r="HG28" s="33"/>
      <c r="HH28" s="373">
        <f>-1715+557</f>
        <v>-1158</v>
      </c>
      <c r="HI28" s="363">
        <f>-34-486</f>
        <v>-520</v>
      </c>
      <c r="HJ28" s="363"/>
      <c r="HK28" s="363"/>
      <c r="HL28" s="363"/>
      <c r="HM28" s="362">
        <f>SUM(HH28:HL28)</f>
        <v>-1678</v>
      </c>
      <c r="HN28" s="33"/>
      <c r="HO28" s="373">
        <v>-410</v>
      </c>
      <c r="HP28" s="363">
        <v>-397</v>
      </c>
      <c r="HQ28" s="363"/>
      <c r="HR28" s="363"/>
      <c r="HS28" s="363"/>
      <c r="HT28" s="362">
        <f>SUM(HO28:HS28)</f>
        <v>-807</v>
      </c>
      <c r="HU28" s="33"/>
      <c r="HV28" s="363">
        <f>-1126-1</f>
        <v>-1127</v>
      </c>
      <c r="HW28" s="367">
        <f>-52-770</f>
        <v>-822</v>
      </c>
      <c r="HX28" s="363">
        <v>0</v>
      </c>
      <c r="HY28" s="363">
        <v>-12</v>
      </c>
      <c r="HZ28" s="363"/>
      <c r="IA28" s="363">
        <f>SUM(HV28:HZ28)</f>
        <v>-1961</v>
      </c>
      <c r="IB28" s="33"/>
      <c r="IC28" s="363">
        <v>-658</v>
      </c>
      <c r="ID28" s="367">
        <v>-706</v>
      </c>
      <c r="IE28" s="363">
        <v>0</v>
      </c>
      <c r="IF28" s="363">
        <v>-12</v>
      </c>
      <c r="IG28" s="363"/>
      <c r="IH28" s="363">
        <f>SUM(IC28:IG28)</f>
        <v>-1376</v>
      </c>
      <c r="II28" s="127"/>
      <c r="IJ28" s="363">
        <v>-707</v>
      </c>
      <c r="IK28" s="367">
        <v>-757</v>
      </c>
      <c r="IL28" s="363">
        <v>0</v>
      </c>
      <c r="IM28" s="363">
        <v>-12</v>
      </c>
      <c r="IN28" s="363"/>
      <c r="IO28" s="363">
        <v>-1476</v>
      </c>
      <c r="IP28" s="127"/>
      <c r="IQ28" s="363">
        <v>-400</v>
      </c>
      <c r="IR28" s="363">
        <v>-198</v>
      </c>
      <c r="IS28" s="363">
        <v>0</v>
      </c>
      <c r="IT28" s="363">
        <v>-5</v>
      </c>
      <c r="IU28" s="363"/>
      <c r="IV28" s="363">
        <f>SUM(IQ28:IU28)</f>
        <v>-603</v>
      </c>
    </row>
    <row r="29" spans="1:256">
      <c r="A29" s="30"/>
      <c r="B29" s="30"/>
      <c r="C29" s="30"/>
      <c r="D29" s="30"/>
      <c r="E29" s="30"/>
      <c r="F29" s="357"/>
      <c r="G29" s="366"/>
      <c r="H29" s="366"/>
      <c r="I29" s="366"/>
      <c r="J29" s="366"/>
      <c r="K29" s="358"/>
      <c r="L29" s="33"/>
      <c r="M29" s="558"/>
      <c r="N29" s="477"/>
      <c r="O29" s="477"/>
      <c r="P29" s="477"/>
      <c r="Q29" s="477"/>
      <c r="R29" s="559"/>
      <c r="S29" s="366"/>
      <c r="T29" s="33"/>
      <c r="U29" s="33"/>
      <c r="V29" s="33"/>
      <c r="W29" s="33"/>
      <c r="X29" s="33"/>
      <c r="Y29" s="33"/>
      <c r="Z29" s="33"/>
      <c r="AA29" s="558"/>
      <c r="AB29" s="477"/>
      <c r="AC29" s="477"/>
      <c r="AD29" s="477"/>
      <c r="AE29" s="477"/>
      <c r="AF29" s="559"/>
      <c r="AG29" s="33"/>
      <c r="AH29" s="357"/>
      <c r="AI29" s="366"/>
      <c r="AJ29" s="366"/>
      <c r="AK29" s="366"/>
      <c r="AL29" s="366"/>
      <c r="AM29" s="358"/>
      <c r="AN29" s="33"/>
      <c r="AO29" s="357"/>
      <c r="AP29" s="366"/>
      <c r="AQ29" s="366"/>
      <c r="AR29" s="366"/>
      <c r="AS29" s="366"/>
      <c r="AT29" s="358"/>
      <c r="AU29" s="33"/>
      <c r="AV29" s="357"/>
      <c r="AW29" s="366"/>
      <c r="AX29" s="366"/>
      <c r="AY29" s="366"/>
      <c r="AZ29" s="366"/>
      <c r="BA29" s="358"/>
      <c r="BB29" s="33"/>
      <c r="BC29" s="357"/>
      <c r="BD29" s="366"/>
      <c r="BE29" s="366"/>
      <c r="BF29" s="366"/>
      <c r="BG29" s="366"/>
      <c r="BH29" s="358"/>
      <c r="BI29" s="33"/>
      <c r="BJ29" s="357"/>
      <c r="BK29" s="366"/>
      <c r="BL29" s="366"/>
      <c r="BM29" s="366"/>
      <c r="BN29" s="366"/>
      <c r="BO29" s="358"/>
      <c r="BP29" s="33"/>
      <c r="BQ29" s="357"/>
      <c r="BR29" s="366"/>
      <c r="BS29" s="366"/>
      <c r="BT29" s="366"/>
      <c r="BU29" s="366"/>
      <c r="BV29" s="358"/>
      <c r="BW29" s="33"/>
      <c r="BX29" s="357"/>
      <c r="BY29" s="366"/>
      <c r="BZ29" s="366"/>
      <c r="CA29" s="366"/>
      <c r="CB29" s="366"/>
      <c r="CC29" s="358"/>
      <c r="CD29" s="33"/>
      <c r="CE29" s="357"/>
      <c r="CF29" s="366"/>
      <c r="CG29" s="366"/>
      <c r="CH29" s="366"/>
      <c r="CI29" s="366"/>
      <c r="CJ29" s="358"/>
      <c r="CK29" s="33"/>
      <c r="CL29" s="357"/>
      <c r="CM29" s="366"/>
      <c r="CN29" s="366"/>
      <c r="CO29" s="366"/>
      <c r="CP29" s="366"/>
      <c r="CQ29" s="358"/>
      <c r="CR29" s="33"/>
      <c r="CS29" s="357"/>
      <c r="CT29" s="366"/>
      <c r="CU29" s="366"/>
      <c r="CV29" s="366"/>
      <c r="CW29" s="366"/>
      <c r="CX29" s="358"/>
      <c r="CY29" s="33"/>
      <c r="CZ29" s="357"/>
      <c r="DA29" s="366"/>
      <c r="DB29" s="366"/>
      <c r="DC29" s="366"/>
      <c r="DD29" s="366"/>
      <c r="DE29" s="358"/>
      <c r="DF29" s="33"/>
      <c r="DG29" s="357"/>
      <c r="DH29" s="366"/>
      <c r="DI29" s="366"/>
      <c r="DJ29" s="366"/>
      <c r="DK29" s="366"/>
      <c r="DL29" s="358"/>
      <c r="DM29" s="33"/>
      <c r="DN29" s="357"/>
      <c r="DO29" s="366"/>
      <c r="DP29" s="366"/>
      <c r="DQ29" s="366"/>
      <c r="DR29" s="366"/>
      <c r="DS29" s="358"/>
      <c r="DT29" s="33"/>
      <c r="DU29" s="357"/>
      <c r="DV29" s="366"/>
      <c r="DW29" s="366"/>
      <c r="DX29" s="366"/>
      <c r="DY29" s="366"/>
      <c r="DZ29" s="358"/>
      <c r="EA29" s="33"/>
      <c r="EB29" s="357"/>
      <c r="EC29" s="366"/>
      <c r="ED29" s="366"/>
      <c r="EE29" s="366"/>
      <c r="EF29" s="366"/>
      <c r="EG29" s="358"/>
      <c r="EH29" s="33"/>
      <c r="EI29" s="357"/>
      <c r="EJ29" s="366"/>
      <c r="EK29" s="366"/>
      <c r="EL29" s="366"/>
      <c r="EM29" s="366"/>
      <c r="EN29" s="358"/>
      <c r="EO29" s="33"/>
      <c r="EP29" s="357"/>
      <c r="EQ29" s="366"/>
      <c r="ER29" s="366"/>
      <c r="ES29" s="366"/>
      <c r="ET29" s="366"/>
      <c r="EU29" s="358"/>
      <c r="EV29" s="33"/>
      <c r="EW29" s="357"/>
      <c r="EX29" s="366"/>
      <c r="EY29" s="366"/>
      <c r="EZ29" s="366"/>
      <c r="FA29" s="366"/>
      <c r="FB29" s="358"/>
      <c r="FC29" s="33"/>
      <c r="FD29" s="357"/>
      <c r="FE29" s="366"/>
      <c r="FF29" s="366"/>
      <c r="FG29" s="366"/>
      <c r="FH29" s="366"/>
      <c r="FI29" s="358"/>
      <c r="FJ29" s="33"/>
      <c r="FK29" s="357"/>
      <c r="FL29" s="366"/>
      <c r="FM29" s="366"/>
      <c r="FN29" s="366"/>
      <c r="FO29" s="366"/>
      <c r="FP29" s="358"/>
      <c r="FQ29" s="33"/>
      <c r="FR29" s="357"/>
      <c r="FS29" s="366"/>
      <c r="FT29" s="366"/>
      <c r="FU29" s="366"/>
      <c r="FV29" s="366"/>
      <c r="FW29" s="358"/>
      <c r="FX29" s="33"/>
      <c r="FY29" s="357"/>
      <c r="FZ29" s="366"/>
      <c r="GA29" s="366"/>
      <c r="GB29" s="366"/>
      <c r="GC29" s="366"/>
      <c r="GD29" s="358"/>
      <c r="GE29" s="33"/>
      <c r="GF29" s="357"/>
      <c r="GG29" s="366"/>
      <c r="GH29" s="366"/>
      <c r="GI29" s="366"/>
      <c r="GJ29" s="366"/>
      <c r="GK29" s="358"/>
      <c r="GL29" s="33"/>
      <c r="GM29" s="357"/>
      <c r="GN29" s="366"/>
      <c r="GO29" s="366"/>
      <c r="GP29" s="366"/>
      <c r="GQ29" s="366"/>
      <c r="GR29" s="358"/>
      <c r="GS29" s="33"/>
      <c r="GT29" s="357"/>
      <c r="GU29" s="366"/>
      <c r="GV29" s="366"/>
      <c r="GW29" s="366"/>
      <c r="GX29" s="366"/>
      <c r="GY29" s="358"/>
      <c r="GZ29" s="33"/>
      <c r="HA29" s="357"/>
      <c r="HB29" s="366"/>
      <c r="HC29" s="366"/>
      <c r="HD29" s="366"/>
      <c r="HE29" s="366"/>
      <c r="HF29" s="358"/>
      <c r="HG29" s="33"/>
      <c r="HH29" s="357"/>
      <c r="HI29" s="366"/>
      <c r="HJ29" s="366"/>
      <c r="HK29" s="366"/>
      <c r="HL29" s="366"/>
      <c r="HM29" s="358"/>
      <c r="HN29" s="33"/>
      <c r="HO29" s="357"/>
      <c r="HP29" s="366"/>
      <c r="HQ29" s="366"/>
      <c r="HR29" s="366"/>
      <c r="HS29" s="366"/>
      <c r="HT29" s="358"/>
      <c r="HU29" s="33"/>
      <c r="HV29" s="127"/>
      <c r="HW29" s="127"/>
      <c r="HX29" s="127"/>
      <c r="HY29" s="127"/>
      <c r="HZ29" s="127"/>
      <c r="IA29" s="127"/>
      <c r="IB29" s="33"/>
      <c r="IC29" s="127"/>
      <c r="ID29" s="127"/>
      <c r="IE29" s="127"/>
      <c r="IF29" s="127"/>
      <c r="IG29" s="127"/>
      <c r="IH29" s="127"/>
      <c r="II29" s="127"/>
      <c r="IJ29" s="127"/>
      <c r="IK29" s="127"/>
      <c r="IL29" s="127"/>
      <c r="IM29" s="127"/>
      <c r="IN29" s="127"/>
      <c r="IO29" s="127"/>
      <c r="IP29" s="127"/>
      <c r="IQ29" s="127"/>
      <c r="IR29" s="127"/>
      <c r="IS29" s="127"/>
      <c r="IT29" s="127"/>
      <c r="IU29" s="127"/>
      <c r="IV29" s="127"/>
    </row>
    <row r="30" spans="1:256">
      <c r="A30" s="30"/>
      <c r="B30" s="30"/>
      <c r="C30" s="30"/>
      <c r="D30" s="30"/>
      <c r="E30" s="30"/>
      <c r="F30" s="357"/>
      <c r="G30" s="366"/>
      <c r="H30" s="366"/>
      <c r="I30" s="366"/>
      <c r="J30" s="366"/>
      <c r="K30" s="358"/>
      <c r="L30" s="33"/>
      <c r="M30" s="558"/>
      <c r="N30" s="477"/>
      <c r="O30" s="477"/>
      <c r="P30" s="477"/>
      <c r="Q30" s="477"/>
      <c r="R30" s="559"/>
      <c r="S30" s="366"/>
      <c r="T30" s="33"/>
      <c r="U30" s="33"/>
      <c r="V30" s="33"/>
      <c r="W30" s="33"/>
      <c r="X30" s="33"/>
      <c r="Y30" s="33"/>
      <c r="Z30" s="33"/>
      <c r="AA30" s="558"/>
      <c r="AB30" s="477"/>
      <c r="AC30" s="477"/>
      <c r="AD30" s="477"/>
      <c r="AE30" s="477"/>
      <c r="AF30" s="559"/>
      <c r="AG30" s="33"/>
      <c r="AH30" s="357"/>
      <c r="AI30" s="366"/>
      <c r="AJ30" s="366"/>
      <c r="AK30" s="366"/>
      <c r="AL30" s="366"/>
      <c r="AM30" s="358"/>
      <c r="AN30" s="33"/>
      <c r="AO30" s="357"/>
      <c r="AP30" s="366"/>
      <c r="AQ30" s="366"/>
      <c r="AR30" s="366"/>
      <c r="AS30" s="366"/>
      <c r="AT30" s="358"/>
      <c r="AU30" s="33"/>
      <c r="AV30" s="357"/>
      <c r="AW30" s="366"/>
      <c r="AX30" s="366"/>
      <c r="AY30" s="366"/>
      <c r="AZ30" s="366"/>
      <c r="BA30" s="358"/>
      <c r="BB30" s="33"/>
      <c r="BC30" s="357"/>
      <c r="BD30" s="366"/>
      <c r="BE30" s="366"/>
      <c r="BF30" s="366"/>
      <c r="BG30" s="366"/>
      <c r="BH30" s="358"/>
      <c r="BI30" s="33"/>
      <c r="BJ30" s="357"/>
      <c r="BK30" s="366"/>
      <c r="BL30" s="366"/>
      <c r="BM30" s="366"/>
      <c r="BN30" s="366"/>
      <c r="BO30" s="358"/>
      <c r="BP30" s="33"/>
      <c r="BQ30" s="357"/>
      <c r="BR30" s="366"/>
      <c r="BS30" s="366"/>
      <c r="BT30" s="366"/>
      <c r="BU30" s="366"/>
      <c r="BV30" s="358"/>
      <c r="BW30" s="33"/>
      <c r="BX30" s="357"/>
      <c r="BY30" s="366"/>
      <c r="BZ30" s="366"/>
      <c r="CA30" s="366"/>
      <c r="CB30" s="366"/>
      <c r="CC30" s="358"/>
      <c r="CD30" s="33"/>
      <c r="CE30" s="357"/>
      <c r="CF30" s="366"/>
      <c r="CG30" s="366"/>
      <c r="CH30" s="366"/>
      <c r="CI30" s="366"/>
      <c r="CJ30" s="358"/>
      <c r="CK30" s="33"/>
      <c r="CL30" s="357"/>
      <c r="CM30" s="366"/>
      <c r="CN30" s="366"/>
      <c r="CO30" s="366"/>
      <c r="CP30" s="366"/>
      <c r="CQ30" s="358"/>
      <c r="CR30" s="33"/>
      <c r="CS30" s="357"/>
      <c r="CT30" s="366"/>
      <c r="CU30" s="366"/>
      <c r="CV30" s="366"/>
      <c r="CW30" s="366"/>
      <c r="CX30" s="358"/>
      <c r="CY30" s="33"/>
      <c r="CZ30" s="357"/>
      <c r="DA30" s="366"/>
      <c r="DB30" s="366"/>
      <c r="DC30" s="366"/>
      <c r="DD30" s="366"/>
      <c r="DE30" s="358"/>
      <c r="DF30" s="33"/>
      <c r="DG30" s="357"/>
      <c r="DH30" s="366"/>
      <c r="DI30" s="366"/>
      <c r="DJ30" s="366"/>
      <c r="DK30" s="366"/>
      <c r="DL30" s="358"/>
      <c r="DM30" s="33"/>
      <c r="DN30" s="357"/>
      <c r="DO30" s="366"/>
      <c r="DP30" s="366"/>
      <c r="DQ30" s="366"/>
      <c r="DR30" s="366"/>
      <c r="DS30" s="358"/>
      <c r="DT30" s="33"/>
      <c r="DU30" s="357"/>
      <c r="DV30" s="366"/>
      <c r="DW30" s="366"/>
      <c r="DX30" s="366"/>
      <c r="DY30" s="366"/>
      <c r="DZ30" s="358"/>
      <c r="EA30" s="33"/>
      <c r="EB30" s="357"/>
      <c r="EC30" s="366"/>
      <c r="ED30" s="366"/>
      <c r="EE30" s="366"/>
      <c r="EF30" s="366"/>
      <c r="EG30" s="358"/>
      <c r="EH30" s="33"/>
      <c r="EI30" s="357"/>
      <c r="EJ30" s="366"/>
      <c r="EK30" s="366"/>
      <c r="EL30" s="366"/>
      <c r="EM30" s="366"/>
      <c r="EN30" s="358"/>
      <c r="EO30" s="33"/>
      <c r="EP30" s="357"/>
      <c r="EQ30" s="366"/>
      <c r="ER30" s="366"/>
      <c r="ES30" s="366"/>
      <c r="ET30" s="366"/>
      <c r="EU30" s="358"/>
      <c r="EV30" s="33"/>
      <c r="EW30" s="357"/>
      <c r="EX30" s="366"/>
      <c r="EY30" s="366"/>
      <c r="EZ30" s="366"/>
      <c r="FA30" s="366"/>
      <c r="FB30" s="358"/>
      <c r="FC30" s="33"/>
      <c r="FD30" s="357"/>
      <c r="FE30" s="366"/>
      <c r="FF30" s="366"/>
      <c r="FG30" s="366"/>
      <c r="FH30" s="366"/>
      <c r="FI30" s="358"/>
      <c r="FJ30" s="33"/>
      <c r="FK30" s="357"/>
      <c r="FL30" s="366"/>
      <c r="FM30" s="366"/>
      <c r="FN30" s="366"/>
      <c r="FO30" s="366"/>
      <c r="FP30" s="358"/>
      <c r="FQ30" s="33"/>
      <c r="FR30" s="357"/>
      <c r="FS30" s="366"/>
      <c r="FT30" s="366"/>
      <c r="FU30" s="366"/>
      <c r="FV30" s="366"/>
      <c r="FW30" s="358"/>
      <c r="FX30" s="33"/>
      <c r="FY30" s="357"/>
      <c r="FZ30" s="366"/>
      <c r="GA30" s="366"/>
      <c r="GB30" s="366"/>
      <c r="GC30" s="366"/>
      <c r="GD30" s="358"/>
      <c r="GE30" s="33"/>
      <c r="GF30" s="357"/>
      <c r="GG30" s="366"/>
      <c r="GH30" s="366"/>
      <c r="GI30" s="366"/>
      <c r="GJ30" s="366"/>
      <c r="GK30" s="358"/>
      <c r="GL30" s="33"/>
      <c r="GM30" s="357"/>
      <c r="GN30" s="366"/>
      <c r="GO30" s="366"/>
      <c r="GP30" s="366"/>
      <c r="GQ30" s="366"/>
      <c r="GR30" s="358"/>
      <c r="GS30" s="33"/>
      <c r="GT30" s="357"/>
      <c r="GU30" s="366"/>
      <c r="GV30" s="366"/>
      <c r="GW30" s="366"/>
      <c r="GX30" s="366"/>
      <c r="GY30" s="358"/>
      <c r="GZ30" s="33"/>
      <c r="HA30" s="357"/>
      <c r="HB30" s="366"/>
      <c r="HC30" s="366"/>
      <c r="HD30" s="366"/>
      <c r="HE30" s="366"/>
      <c r="HF30" s="358"/>
      <c r="HG30" s="33"/>
      <c r="HH30" s="357"/>
      <c r="HI30" s="366"/>
      <c r="HJ30" s="366"/>
      <c r="HK30" s="366"/>
      <c r="HL30" s="366"/>
      <c r="HM30" s="358"/>
      <c r="HN30" s="33"/>
      <c r="HO30" s="357"/>
      <c r="HP30" s="366"/>
      <c r="HQ30" s="366"/>
      <c r="HR30" s="366"/>
      <c r="HS30" s="366"/>
      <c r="HT30" s="358"/>
      <c r="HU30" s="33"/>
      <c r="HV30" s="127"/>
      <c r="HW30" s="127"/>
      <c r="HX30" s="127"/>
      <c r="HY30" s="127"/>
      <c r="HZ30" s="127"/>
      <c r="IA30" s="127"/>
      <c r="IB30" s="33"/>
      <c r="IC30" s="127"/>
      <c r="ID30" s="127"/>
      <c r="IE30" s="127"/>
      <c r="IF30" s="127"/>
      <c r="IG30" s="127"/>
      <c r="IH30" s="127"/>
      <c r="II30" s="127"/>
      <c r="IJ30" s="127"/>
      <c r="IK30" s="127"/>
      <c r="IL30" s="127"/>
      <c r="IM30" s="127"/>
      <c r="IN30" s="127"/>
      <c r="IO30" s="127"/>
      <c r="IP30" s="127"/>
      <c r="IQ30" s="127"/>
      <c r="IR30" s="127"/>
      <c r="IS30" s="127"/>
      <c r="IT30" s="127"/>
      <c r="IU30" s="127"/>
      <c r="IV30" s="127"/>
    </row>
    <row r="31" spans="1:256">
      <c r="A31" s="30" t="s">
        <v>346</v>
      </c>
      <c r="B31" s="30"/>
      <c r="C31" s="30"/>
      <c r="D31" s="30"/>
      <c r="E31" s="30"/>
      <c r="F31" s="357">
        <f>SUM(F26:F28)</f>
        <v>3190</v>
      </c>
      <c r="G31" s="366">
        <f>SUM(G26:G28)</f>
        <v>-602</v>
      </c>
      <c r="H31" s="366"/>
      <c r="I31" s="366">
        <f>SUM(I26:I28)</f>
        <v>0</v>
      </c>
      <c r="J31" s="366">
        <f>SUM(J26:J28)</f>
        <v>-88</v>
      </c>
      <c r="K31" s="358">
        <f>SUM(K26:K28)</f>
        <v>2500</v>
      </c>
      <c r="L31" s="33"/>
      <c r="M31" s="558">
        <f>SUM(M26:M28)</f>
        <v>0</v>
      </c>
      <c r="N31" s="477">
        <f>SUM(N26:N28)</f>
        <v>0</v>
      </c>
      <c r="O31" s="477"/>
      <c r="P31" s="477">
        <f>SUM(P26:P28)</f>
        <v>0</v>
      </c>
      <c r="Q31" s="477">
        <f>SUM(Q26:Q28)</f>
        <v>0</v>
      </c>
      <c r="R31" s="559">
        <f>SUM(R26:R28)</f>
        <v>0</v>
      </c>
      <c r="S31" s="366"/>
      <c r="T31" s="33">
        <f t="shared" ref="T31:Y31" si="16">SUM(T26:T28)</f>
        <v>3190</v>
      </c>
      <c r="U31" s="33">
        <f t="shared" si="16"/>
        <v>-602</v>
      </c>
      <c r="V31" s="33">
        <f t="shared" si="16"/>
        <v>0</v>
      </c>
      <c r="W31" s="33">
        <f t="shared" si="16"/>
        <v>0</v>
      </c>
      <c r="X31" s="33">
        <f t="shared" si="16"/>
        <v>-88</v>
      </c>
      <c r="Y31" s="33">
        <f t="shared" si="16"/>
        <v>2500</v>
      </c>
      <c r="Z31" s="33"/>
      <c r="AA31" s="558">
        <f>SUM(AA26:AA28)</f>
        <v>5385</v>
      </c>
      <c r="AB31" s="477">
        <f>SUM(AB26:AB28)</f>
        <v>849</v>
      </c>
      <c r="AC31" s="477"/>
      <c r="AD31" s="477">
        <f>SUM(AD26:AD28)</f>
        <v>0</v>
      </c>
      <c r="AE31" s="477">
        <f>SUM(AE26:AE28)</f>
        <v>-84</v>
      </c>
      <c r="AF31" s="559">
        <f>SUM(AF26:AF28)</f>
        <v>6150</v>
      </c>
      <c r="AG31" s="33"/>
      <c r="AH31" s="357">
        <f>SUM(AH26:AH28)</f>
        <v>2754</v>
      </c>
      <c r="AI31" s="366">
        <f>SUM(AI26:AI28)</f>
        <v>271</v>
      </c>
      <c r="AJ31" s="366"/>
      <c r="AK31" s="366">
        <f>SUM(AK26:AK28)</f>
        <v>0</v>
      </c>
      <c r="AL31" s="366">
        <f>SUM(AL26:AL28)</f>
        <v>-315</v>
      </c>
      <c r="AM31" s="358">
        <f>SUM(AM26:AM28)</f>
        <v>2710</v>
      </c>
      <c r="AN31" s="33"/>
      <c r="AO31" s="357">
        <f>SUM(AO26:AO28)</f>
        <v>2262</v>
      </c>
      <c r="AP31" s="366">
        <f>SUM(AP26:AP28)</f>
        <v>-66</v>
      </c>
      <c r="AQ31" s="366"/>
      <c r="AR31" s="366">
        <f>SUM(AR26:AR28)</f>
        <v>0</v>
      </c>
      <c r="AS31" s="366">
        <f>SUM(AS26:AS28)</f>
        <v>69</v>
      </c>
      <c r="AT31" s="358">
        <f>SUM(AT26:AT28)</f>
        <v>2265</v>
      </c>
      <c r="AU31" s="33"/>
      <c r="AV31" s="357">
        <f>SUM(AV26:AV28)</f>
        <v>1570</v>
      </c>
      <c r="AW31" s="366">
        <f>SUM(AW26:AW28)</f>
        <v>-147</v>
      </c>
      <c r="AX31" s="366"/>
      <c r="AY31" s="366">
        <f>SUM(AY26:AY28)</f>
        <v>0</v>
      </c>
      <c r="AZ31" s="366">
        <f>SUM(AZ26:AZ28)</f>
        <v>102</v>
      </c>
      <c r="BA31" s="358">
        <f>SUM(BA26:BA28)</f>
        <v>1525</v>
      </c>
      <c r="BB31" s="33"/>
      <c r="BC31" s="357">
        <f>SUM(BC26:BC28)</f>
        <v>5030</v>
      </c>
      <c r="BD31" s="366">
        <f>SUM(BD26:BD28)</f>
        <v>1135</v>
      </c>
      <c r="BE31" s="366"/>
      <c r="BF31" s="366">
        <f>SUM(BF26:BF28)</f>
        <v>0</v>
      </c>
      <c r="BG31" s="366">
        <f>SUM(BG26:BG28)</f>
        <v>-472</v>
      </c>
      <c r="BH31" s="358">
        <f>SUM(BH26:BH28)</f>
        <v>5688</v>
      </c>
      <c r="BI31" s="33"/>
      <c r="BJ31" s="357">
        <f>SUM(BJ26:BJ28)</f>
        <v>3824</v>
      </c>
      <c r="BK31" s="366">
        <f>SUM(BK26:BK28)</f>
        <v>1270</v>
      </c>
      <c r="BL31" s="366"/>
      <c r="BM31" s="366">
        <f>SUM(BM26:BM28)</f>
        <v>0</v>
      </c>
      <c r="BN31" s="366">
        <f>SUM(BN26:BN28)</f>
        <v>-834</v>
      </c>
      <c r="BO31" s="358">
        <f>SUM(BO26:BO28)</f>
        <v>4260</v>
      </c>
      <c r="BP31" s="33"/>
      <c r="BQ31" s="357">
        <f>SUM(BQ26:BQ28)</f>
        <v>1149</v>
      </c>
      <c r="BR31" s="366">
        <f>SUM(BR26:BR28)</f>
        <v>1269</v>
      </c>
      <c r="BS31" s="366"/>
      <c r="BT31" s="366">
        <f>SUM(BT26:BT28)</f>
        <v>0</v>
      </c>
      <c r="BU31" s="366">
        <f>SUM(BU26:BU28)</f>
        <v>-598</v>
      </c>
      <c r="BV31" s="358">
        <f>SUM(BV26:BV28)</f>
        <v>1821</v>
      </c>
      <c r="BW31" s="33"/>
      <c r="BX31" s="357">
        <f>SUM(BX26:BX28)</f>
        <v>-110</v>
      </c>
      <c r="BY31" s="366">
        <f>SUM(BY26:BY28)</f>
        <v>850</v>
      </c>
      <c r="BZ31" s="366"/>
      <c r="CA31" s="366">
        <f>SUM(CA26:CA28)</f>
        <v>0</v>
      </c>
      <c r="CB31" s="366">
        <f>SUM(CB26:CB28)</f>
        <v>-668</v>
      </c>
      <c r="CC31" s="358">
        <f>SUM(CC26:CC28)</f>
        <v>71</v>
      </c>
      <c r="CD31" s="33"/>
      <c r="CE31" s="357">
        <f>SUM(CE26:CE28)</f>
        <v>-2205</v>
      </c>
      <c r="CF31" s="366">
        <f>SUM(CF26:CF28)</f>
        <v>175</v>
      </c>
      <c r="CG31" s="366"/>
      <c r="CH31" s="366">
        <f>SUM(CH26:CH28)</f>
        <v>361</v>
      </c>
      <c r="CI31" s="366">
        <f>SUM(CI26:CI28)</f>
        <v>1030</v>
      </c>
      <c r="CJ31" s="358">
        <f>SUM(CJ26:CJ28)</f>
        <v>-638</v>
      </c>
      <c r="CK31" s="33"/>
      <c r="CL31" s="357">
        <f>SUM(CL26:CL28)</f>
        <v>5125</v>
      </c>
      <c r="CM31" s="366">
        <f>SUM(CM26:CM28)</f>
        <v>1215</v>
      </c>
      <c r="CN31" s="366"/>
      <c r="CO31" s="366">
        <f>SUM(CO26:CO28)</f>
        <v>361</v>
      </c>
      <c r="CP31" s="366">
        <f>SUM(CP26:CP28)</f>
        <v>1030</v>
      </c>
      <c r="CQ31" s="358">
        <f>SUM(CQ26:CQ28)</f>
        <v>7887</v>
      </c>
      <c r="CR31" s="33"/>
      <c r="CS31" s="357">
        <f>SUM(CS26:CS28)</f>
        <v>6720</v>
      </c>
      <c r="CT31" s="366">
        <f>SUM(CT26:CT28)</f>
        <v>2080</v>
      </c>
      <c r="CU31" s="366"/>
      <c r="CV31" s="366">
        <f>SUM(CV26:CV28)</f>
        <v>361</v>
      </c>
      <c r="CW31" s="366">
        <f>SUM(CW26:CW28)</f>
        <v>26</v>
      </c>
      <c r="CX31" s="358">
        <f>SUM(CX26:CX28)</f>
        <v>9187</v>
      </c>
      <c r="CY31" s="33"/>
      <c r="CZ31" s="357">
        <f>SUM(CZ26:CZ28)</f>
        <v>4370</v>
      </c>
      <c r="DA31" s="366">
        <f>SUM(DA26:DA28)</f>
        <v>1345</v>
      </c>
      <c r="DB31" s="366"/>
      <c r="DC31" s="366">
        <f>SUM(DC26:DC28)</f>
        <v>361</v>
      </c>
      <c r="DD31" s="366">
        <f>SUM(DD26:DD28)</f>
        <v>157</v>
      </c>
      <c r="DE31" s="358">
        <f>SUM(DE26:DE28)</f>
        <v>6233</v>
      </c>
      <c r="DF31" s="33"/>
      <c r="DG31" s="357">
        <f>SUM(DG26:DG28)</f>
        <v>15781</v>
      </c>
      <c r="DH31" s="366">
        <f>SUM(DH26:DH28)</f>
        <v>2485</v>
      </c>
      <c r="DI31" s="366"/>
      <c r="DJ31" s="366">
        <f>SUM(DJ26:DJ28)</f>
        <v>-361</v>
      </c>
      <c r="DK31" s="366">
        <f>SUM(DK26:DK28)</f>
        <v>308</v>
      </c>
      <c r="DL31" s="358">
        <f>SUM(DL26:DL28)</f>
        <v>18213</v>
      </c>
      <c r="DM31" s="33"/>
      <c r="DN31" s="357">
        <f>SUM(DN26:DN28)</f>
        <v>12500</v>
      </c>
      <c r="DO31" s="366">
        <f>SUM(DO26:DO28)</f>
        <v>1570</v>
      </c>
      <c r="DP31" s="366"/>
      <c r="DQ31" s="366"/>
      <c r="DR31" s="366">
        <f>SUM(DR26:DR28)</f>
        <v>71</v>
      </c>
      <c r="DS31" s="358">
        <f>SUM(DS26:DS28)</f>
        <v>14141</v>
      </c>
      <c r="DT31" s="33"/>
      <c r="DU31" s="357">
        <f>SUM(DU26:DU28)</f>
        <v>10305</v>
      </c>
      <c r="DV31" s="366">
        <f>SUM(DV26:DV28)</f>
        <v>1685</v>
      </c>
      <c r="DW31" s="366"/>
      <c r="DX31" s="366"/>
      <c r="DY31" s="366">
        <f>SUM(DY26:DY28)</f>
        <v>-115</v>
      </c>
      <c r="DZ31" s="358">
        <f>SUM(DZ26:DZ28)</f>
        <v>11875</v>
      </c>
      <c r="EA31" s="33"/>
      <c r="EB31" s="357">
        <f>SUM(EB26:EB28)</f>
        <v>5665</v>
      </c>
      <c r="EC31" s="366">
        <f>SUM(EC26:EC28)</f>
        <v>1175</v>
      </c>
      <c r="ED31" s="366"/>
      <c r="EE31" s="366"/>
      <c r="EF31" s="366">
        <f>SUM(EF26:EF28)</f>
        <v>-22</v>
      </c>
      <c r="EG31" s="358">
        <f>SUM(EG26:EG28)</f>
        <v>6818</v>
      </c>
      <c r="EH31" s="33"/>
      <c r="EI31" s="357">
        <f>SUM(EI26:EI28)</f>
        <v>2435</v>
      </c>
      <c r="EJ31" s="366">
        <f>SUM(EJ26:EJ28)</f>
        <v>305</v>
      </c>
      <c r="EK31" s="366"/>
      <c r="EL31" s="366"/>
      <c r="EM31" s="366">
        <f>SUM(EM26:EM28)</f>
        <v>-344</v>
      </c>
      <c r="EN31" s="358">
        <f>SUM(EN26:EN28)</f>
        <v>2396</v>
      </c>
      <c r="EO31" s="33"/>
      <c r="EP31" s="357">
        <f>SUM(EP26:EP28)</f>
        <v>17125</v>
      </c>
      <c r="EQ31" s="366">
        <f>SUM(EQ26:EQ28)</f>
        <v>4560</v>
      </c>
      <c r="ER31" s="366"/>
      <c r="ES31" s="366"/>
      <c r="ET31" s="366">
        <f>SUM(ET26:ET28)</f>
        <v>-7719</v>
      </c>
      <c r="EU31" s="358">
        <f>SUM(EU26:EU28)</f>
        <v>13966</v>
      </c>
      <c r="EV31" s="33"/>
      <c r="EW31" s="357">
        <f>SUM(EW26:EW28)</f>
        <v>8430</v>
      </c>
      <c r="EX31" s="366">
        <f>SUM(EX26:EX28)</f>
        <v>3710</v>
      </c>
      <c r="EY31" s="366"/>
      <c r="EZ31" s="366"/>
      <c r="FA31" s="366">
        <f>SUM(FA26:FA28)</f>
        <v>-82</v>
      </c>
      <c r="FB31" s="358">
        <f>SUM(FB26:FB28)</f>
        <v>12058</v>
      </c>
      <c r="FC31" s="33"/>
      <c r="FD31" s="357">
        <f>SUM(FD26:FD28)</f>
        <v>6285</v>
      </c>
      <c r="FE31" s="366">
        <f>SUM(FE26:FE28)</f>
        <v>3497</v>
      </c>
      <c r="FF31" s="366"/>
      <c r="FG31" s="366"/>
      <c r="FH31" s="366">
        <f>SUM(FH26:FH28)</f>
        <v>12</v>
      </c>
      <c r="FI31" s="358">
        <f>SUM(FI26:FI28)</f>
        <v>9794</v>
      </c>
      <c r="FJ31" s="33"/>
      <c r="FK31" s="357">
        <f>SUM(FK26:FK28)</f>
        <v>3555</v>
      </c>
      <c r="FL31" s="366">
        <f>SUM(FL26:FL28)</f>
        <v>2145</v>
      </c>
      <c r="FM31" s="366"/>
      <c r="FN31" s="366"/>
      <c r="FO31" s="366">
        <f>SUM(FO26:FO28)</f>
        <v>-627</v>
      </c>
      <c r="FP31" s="358">
        <f>SUM(FP26:FP28)</f>
        <v>5073</v>
      </c>
      <c r="FQ31" s="33"/>
      <c r="FR31" s="357">
        <f>SUM(FR26:FR28)</f>
        <v>10687</v>
      </c>
      <c r="FS31" s="366">
        <f>SUM(FS26:FS28)</f>
        <v>6945</v>
      </c>
      <c r="FT31" s="366"/>
      <c r="FU31" s="366"/>
      <c r="FV31" s="366">
        <f>SUM(FV26:FV28)</f>
        <v>203</v>
      </c>
      <c r="FW31" s="358">
        <f>SUM(FW26:FW28)</f>
        <v>17835</v>
      </c>
      <c r="FX31" s="33"/>
      <c r="FY31" s="357">
        <f>SUM(FY26:FY28)</f>
        <v>8397</v>
      </c>
      <c r="FZ31" s="366">
        <f>SUM(FZ26:FZ28)</f>
        <v>5609</v>
      </c>
      <c r="GA31" s="366"/>
      <c r="GB31" s="366"/>
      <c r="GC31" s="366">
        <f>SUM(GC26:GC28)</f>
        <v>577</v>
      </c>
      <c r="GD31" s="358">
        <f>SUM(GD26:GD28)</f>
        <v>14583</v>
      </c>
      <c r="GE31" s="33"/>
      <c r="GF31" s="357">
        <f>SUM(GF26:GF28)</f>
        <v>4926</v>
      </c>
      <c r="GG31" s="366">
        <f>SUM(GG26:GG28)</f>
        <v>4892</v>
      </c>
      <c r="GH31" s="366"/>
      <c r="GI31" s="366"/>
      <c r="GJ31" s="366">
        <f>SUM(GJ26:GJ28)</f>
        <v>387</v>
      </c>
      <c r="GK31" s="358">
        <f>SUM(GK26:GK28)</f>
        <v>10205</v>
      </c>
      <c r="GL31" s="33"/>
      <c r="GM31" s="357">
        <f>SUM(GM26:GM28)</f>
        <v>2137</v>
      </c>
      <c r="GN31" s="366">
        <f>SUM(GN26:GN28)</f>
        <v>2259</v>
      </c>
      <c r="GO31" s="366"/>
      <c r="GP31" s="366"/>
      <c r="GQ31" s="366">
        <f>SUM(GQ26:GQ28)</f>
        <v>85</v>
      </c>
      <c r="GR31" s="358">
        <f>SUM(GR26:GR28)</f>
        <v>4481</v>
      </c>
      <c r="GS31" s="33"/>
      <c r="GT31" s="357">
        <f>SUM(GT26:GT28)</f>
        <v>33856</v>
      </c>
      <c r="GU31" s="366">
        <f>SUM(GU26:GU28)</f>
        <v>6209</v>
      </c>
      <c r="GV31" s="366"/>
      <c r="GW31" s="366"/>
      <c r="GX31" s="366">
        <f>SUM(GX26:GX28)</f>
        <v>-436</v>
      </c>
      <c r="GY31" s="358">
        <f>SUM(GY26:GY28)</f>
        <v>39629</v>
      </c>
      <c r="GZ31" s="33"/>
      <c r="HA31" s="357">
        <f>SUM(HA26:HA28)</f>
        <v>31878</v>
      </c>
      <c r="HB31" s="366">
        <f>SUM(HB26:HB28)</f>
        <v>4761</v>
      </c>
      <c r="HC31" s="366"/>
      <c r="HD31" s="366"/>
      <c r="HE31" s="366">
        <f>SUM(HE26:HE28)</f>
        <v>-165</v>
      </c>
      <c r="HF31" s="358">
        <f>SUM(HF26:HF28)</f>
        <v>36474</v>
      </c>
      <c r="HG31" s="33"/>
      <c r="HH31" s="357">
        <f>SUM(HH26:HH28)</f>
        <v>5208</v>
      </c>
      <c r="HI31" s="366">
        <f>SUM(HI26:HI28)</f>
        <v>3670</v>
      </c>
      <c r="HJ31" s="366"/>
      <c r="HK31" s="366"/>
      <c r="HL31" s="366">
        <f>SUM(HL26:HL28)</f>
        <v>-31</v>
      </c>
      <c r="HM31" s="358">
        <f>SUM(HM26:HM28)</f>
        <v>8847</v>
      </c>
      <c r="HN31" s="33"/>
      <c r="HO31" s="357">
        <f>SUM(HO26:HO28)</f>
        <v>1835</v>
      </c>
      <c r="HP31" s="366">
        <f>SUM(HP26:HP28)</f>
        <v>1799</v>
      </c>
      <c r="HQ31" s="366"/>
      <c r="HR31" s="366"/>
      <c r="HS31" s="366">
        <f>SUM(HS26:HS28)</f>
        <v>27</v>
      </c>
      <c r="HT31" s="358">
        <f>SUM(HT26:HT28)</f>
        <v>3661</v>
      </c>
      <c r="HU31" s="33"/>
      <c r="HV31" s="127">
        <f t="shared" ref="HV31:IA31" si="17">SUM(HV26:HV28)</f>
        <v>-8881</v>
      </c>
      <c r="HW31" s="127">
        <f t="shared" si="17"/>
        <v>2410</v>
      </c>
      <c r="HX31" s="127">
        <f t="shared" si="17"/>
        <v>-3548</v>
      </c>
      <c r="HY31" s="127">
        <f t="shared" si="17"/>
        <v>31</v>
      </c>
      <c r="HZ31" s="127">
        <f t="shared" si="17"/>
        <v>3515</v>
      </c>
      <c r="IA31" s="127">
        <f t="shared" si="17"/>
        <v>-6473</v>
      </c>
      <c r="IB31" s="33"/>
      <c r="IC31" s="127">
        <f t="shared" ref="IC31:IH31" si="18">SUM(IC26:IC28)</f>
        <v>-8179</v>
      </c>
      <c r="ID31" s="127">
        <f t="shared" si="18"/>
        <v>1941</v>
      </c>
      <c r="IE31" s="127">
        <f t="shared" si="18"/>
        <v>-2154</v>
      </c>
      <c r="IF31" s="127">
        <f t="shared" si="18"/>
        <v>31</v>
      </c>
      <c r="IG31" s="127">
        <f t="shared" si="18"/>
        <v>267</v>
      </c>
      <c r="IH31" s="127">
        <f t="shared" si="18"/>
        <v>-8094</v>
      </c>
      <c r="II31" s="127"/>
      <c r="IJ31" s="127">
        <v>6446</v>
      </c>
      <c r="IK31" s="127">
        <v>2009</v>
      </c>
      <c r="IL31" s="127">
        <v>-728</v>
      </c>
      <c r="IM31" s="127">
        <v>31</v>
      </c>
      <c r="IN31" s="127">
        <v>-2984</v>
      </c>
      <c r="IO31" s="127">
        <v>4774</v>
      </c>
      <c r="IP31" s="127"/>
      <c r="IQ31" s="127">
        <f t="shared" ref="IQ31:IV31" si="19">SUM(IQ26:IQ28)</f>
        <v>1372</v>
      </c>
      <c r="IR31" s="127">
        <f t="shared" si="19"/>
        <v>1080</v>
      </c>
      <c r="IS31" s="127">
        <f t="shared" si="19"/>
        <v>-196</v>
      </c>
      <c r="IT31" s="127">
        <f t="shared" si="19"/>
        <v>54</v>
      </c>
      <c r="IU31" s="127">
        <f t="shared" si="19"/>
        <v>-56</v>
      </c>
      <c r="IV31" s="127">
        <f t="shared" si="19"/>
        <v>2254</v>
      </c>
    </row>
    <row r="32" spans="1:256">
      <c r="A32" s="30"/>
      <c r="B32" s="30"/>
      <c r="C32" s="30"/>
      <c r="D32" s="30"/>
      <c r="E32" s="30"/>
      <c r="F32" s="357"/>
      <c r="G32" s="366"/>
      <c r="H32" s="366"/>
      <c r="I32" s="366"/>
      <c r="J32" s="366"/>
      <c r="K32" s="358"/>
      <c r="L32" s="33"/>
      <c r="M32" s="558"/>
      <c r="N32" s="477"/>
      <c r="O32" s="477"/>
      <c r="P32" s="477"/>
      <c r="Q32" s="477"/>
      <c r="R32" s="559"/>
      <c r="S32" s="366"/>
      <c r="T32" s="33"/>
      <c r="U32" s="33"/>
      <c r="V32" s="33"/>
      <c r="W32" s="33"/>
      <c r="X32" s="33"/>
      <c r="Y32" s="33"/>
      <c r="Z32" s="33"/>
      <c r="AA32" s="558"/>
      <c r="AB32" s="477"/>
      <c r="AC32" s="477"/>
      <c r="AD32" s="477"/>
      <c r="AE32" s="477"/>
      <c r="AF32" s="559"/>
      <c r="AG32" s="33"/>
      <c r="AH32" s="357"/>
      <c r="AI32" s="366"/>
      <c r="AJ32" s="366"/>
      <c r="AK32" s="366"/>
      <c r="AL32" s="366"/>
      <c r="AM32" s="358"/>
      <c r="AN32" s="33"/>
      <c r="AO32" s="357"/>
      <c r="AP32" s="366"/>
      <c r="AQ32" s="366"/>
      <c r="AR32" s="366"/>
      <c r="AS32" s="366"/>
      <c r="AT32" s="358"/>
      <c r="AU32" s="33"/>
      <c r="AV32" s="357"/>
      <c r="AW32" s="366"/>
      <c r="AX32" s="366"/>
      <c r="AY32" s="366"/>
      <c r="AZ32" s="366"/>
      <c r="BA32" s="358"/>
      <c r="BB32" s="33"/>
      <c r="BC32" s="357"/>
      <c r="BD32" s="366"/>
      <c r="BE32" s="366"/>
      <c r="BF32" s="366"/>
      <c r="BG32" s="366"/>
      <c r="BH32" s="358"/>
      <c r="BI32" s="33"/>
      <c r="BJ32" s="357"/>
      <c r="BK32" s="366"/>
      <c r="BL32" s="366"/>
      <c r="BM32" s="366"/>
      <c r="BN32" s="366"/>
      <c r="BO32" s="358"/>
      <c r="BP32" s="33"/>
      <c r="BQ32" s="357"/>
      <c r="BR32" s="366"/>
      <c r="BS32" s="366"/>
      <c r="BT32" s="366"/>
      <c r="BU32" s="366"/>
      <c r="BV32" s="358"/>
      <c r="BW32" s="33"/>
      <c r="BX32" s="357"/>
      <c r="BY32" s="366"/>
      <c r="BZ32" s="366"/>
      <c r="CA32" s="366"/>
      <c r="CB32" s="366"/>
      <c r="CC32" s="358"/>
      <c r="CD32" s="33"/>
      <c r="CE32" s="357"/>
      <c r="CF32" s="366"/>
      <c r="CG32" s="366"/>
      <c r="CH32" s="366"/>
      <c r="CI32" s="366"/>
      <c r="CJ32" s="358"/>
      <c r="CK32" s="33"/>
      <c r="CL32" s="357"/>
      <c r="CM32" s="366"/>
      <c r="CN32" s="366"/>
      <c r="CO32" s="366"/>
      <c r="CP32" s="366"/>
      <c r="CQ32" s="358"/>
      <c r="CR32" s="33"/>
      <c r="CS32" s="357"/>
      <c r="CT32" s="366"/>
      <c r="CU32" s="366"/>
      <c r="CV32" s="366"/>
      <c r="CW32" s="366"/>
      <c r="CX32" s="358"/>
      <c r="CY32" s="33"/>
      <c r="CZ32" s="357"/>
      <c r="DA32" s="366"/>
      <c r="DB32" s="366"/>
      <c r="DC32" s="366"/>
      <c r="DD32" s="366"/>
      <c r="DE32" s="358"/>
      <c r="DF32" s="33"/>
      <c r="DG32" s="357"/>
      <c r="DH32" s="366"/>
      <c r="DI32" s="366"/>
      <c r="DJ32" s="366"/>
      <c r="DK32" s="366"/>
      <c r="DL32" s="358"/>
      <c r="DM32" s="33"/>
      <c r="DN32" s="357"/>
      <c r="DO32" s="366"/>
      <c r="DP32" s="366"/>
      <c r="DQ32" s="366"/>
      <c r="DR32" s="366"/>
      <c r="DS32" s="358"/>
      <c r="DT32" s="33"/>
      <c r="DU32" s="357"/>
      <c r="DV32" s="366"/>
      <c r="DW32" s="366"/>
      <c r="DX32" s="366"/>
      <c r="DY32" s="366"/>
      <c r="DZ32" s="358"/>
      <c r="EA32" s="33"/>
      <c r="EB32" s="357"/>
      <c r="EC32" s="366"/>
      <c r="ED32" s="366"/>
      <c r="EE32" s="366"/>
      <c r="EF32" s="366"/>
      <c r="EG32" s="358"/>
      <c r="EH32" s="33"/>
      <c r="EI32" s="357"/>
      <c r="EJ32" s="366"/>
      <c r="EK32" s="366"/>
      <c r="EL32" s="366"/>
      <c r="EM32" s="366"/>
      <c r="EN32" s="358"/>
      <c r="EO32" s="33"/>
      <c r="EP32" s="357"/>
      <c r="EQ32" s="366"/>
      <c r="ER32" s="366"/>
      <c r="ES32" s="366"/>
      <c r="ET32" s="366"/>
      <c r="EU32" s="358"/>
      <c r="EV32" s="33"/>
      <c r="EW32" s="357"/>
      <c r="EX32" s="366"/>
      <c r="EY32" s="366"/>
      <c r="EZ32" s="366"/>
      <c r="FA32" s="366"/>
      <c r="FB32" s="358"/>
      <c r="FC32" s="33"/>
      <c r="FD32" s="357"/>
      <c r="FE32" s="366"/>
      <c r="FF32" s="366"/>
      <c r="FG32" s="366"/>
      <c r="FH32" s="366"/>
      <c r="FI32" s="358"/>
      <c r="FJ32" s="33"/>
      <c r="FK32" s="357"/>
      <c r="FL32" s="366"/>
      <c r="FM32" s="366"/>
      <c r="FN32" s="366"/>
      <c r="FO32" s="366"/>
      <c r="FP32" s="358"/>
      <c r="FQ32" s="33"/>
      <c r="FR32" s="357"/>
      <c r="FS32" s="366"/>
      <c r="FT32" s="366"/>
      <c r="FU32" s="366"/>
      <c r="FV32" s="366"/>
      <c r="FW32" s="358"/>
      <c r="FX32" s="33"/>
      <c r="FY32" s="357"/>
      <c r="FZ32" s="366"/>
      <c r="GA32" s="366"/>
      <c r="GB32" s="366"/>
      <c r="GC32" s="366"/>
      <c r="GD32" s="358"/>
      <c r="GE32" s="33"/>
      <c r="GF32" s="357"/>
      <c r="GG32" s="366"/>
      <c r="GH32" s="366"/>
      <c r="GI32" s="366"/>
      <c r="GJ32" s="366"/>
      <c r="GK32" s="358"/>
      <c r="GL32" s="33"/>
      <c r="GM32" s="357"/>
      <c r="GN32" s="366"/>
      <c r="GO32" s="366"/>
      <c r="GP32" s="366"/>
      <c r="GQ32" s="366"/>
      <c r="GR32" s="358"/>
      <c r="GS32" s="33"/>
      <c r="GT32" s="357"/>
      <c r="GU32" s="366"/>
      <c r="GV32" s="366"/>
      <c r="GW32" s="366"/>
      <c r="GX32" s="366"/>
      <c r="GY32" s="358"/>
      <c r="GZ32" s="33"/>
      <c r="HA32" s="357"/>
      <c r="HB32" s="366"/>
      <c r="HC32" s="366"/>
      <c r="HD32" s="366"/>
      <c r="HE32" s="366"/>
      <c r="HF32" s="358"/>
      <c r="HG32" s="33"/>
      <c r="HH32" s="357"/>
      <c r="HI32" s="366"/>
      <c r="HJ32" s="366"/>
      <c r="HK32" s="366"/>
      <c r="HL32" s="366"/>
      <c r="HM32" s="358"/>
      <c r="HN32" s="33"/>
      <c r="HO32" s="357"/>
      <c r="HP32" s="366"/>
      <c r="HQ32" s="366"/>
      <c r="HR32" s="366"/>
      <c r="HS32" s="366"/>
      <c r="HT32" s="358"/>
      <c r="HU32" s="33"/>
      <c r="HV32" s="127"/>
      <c r="HW32" s="33"/>
      <c r="HX32" s="33"/>
      <c r="HY32" s="33"/>
      <c r="HZ32" s="33"/>
      <c r="IA32" s="33"/>
      <c r="IB32" s="33"/>
      <c r="IC32" s="127"/>
      <c r="ID32" s="33"/>
      <c r="IE32" s="33"/>
      <c r="IF32" s="33"/>
      <c r="IG32" s="33"/>
      <c r="IH32" s="33"/>
      <c r="II32" s="127"/>
      <c r="IJ32" s="127"/>
      <c r="IK32" s="33"/>
      <c r="IL32" s="33"/>
      <c r="IM32" s="33"/>
      <c r="IN32" s="33"/>
      <c r="IO32" s="33"/>
      <c r="IP32" s="127"/>
      <c r="IQ32" s="127"/>
      <c r="IR32" s="33"/>
      <c r="IS32" s="33"/>
      <c r="IT32" s="33"/>
      <c r="IU32" s="33"/>
      <c r="IV32" s="33"/>
    </row>
    <row r="33" spans="1:256">
      <c r="A33" s="30" t="s">
        <v>347</v>
      </c>
      <c r="B33" s="30"/>
      <c r="C33" s="30"/>
      <c r="D33" s="30"/>
      <c r="E33" s="30"/>
      <c r="F33" s="357"/>
      <c r="G33" s="366"/>
      <c r="H33" s="366"/>
      <c r="I33" s="368">
        <f>-+F31*(0/12250)</f>
        <v>0</v>
      </c>
      <c r="J33" s="368">
        <f>-+G31*(0/12250)</f>
        <v>0</v>
      </c>
      <c r="K33" s="358">
        <f>+J33</f>
        <v>0</v>
      </c>
      <c r="L33" s="33"/>
      <c r="M33" s="558"/>
      <c r="N33" s="477"/>
      <c r="O33" s="477"/>
      <c r="P33" s="566">
        <f>-+M31*(0/12250)</f>
        <v>0</v>
      </c>
      <c r="Q33" s="566">
        <f>-+N31*(0/12250)</f>
        <v>0</v>
      </c>
      <c r="R33" s="559">
        <f>+Q33</f>
        <v>0</v>
      </c>
      <c r="S33" s="366"/>
      <c r="T33" s="33">
        <f t="shared" ref="T33:Y33" si="20">+F33-M33</f>
        <v>0</v>
      </c>
      <c r="U33" s="33">
        <f t="shared" si="20"/>
        <v>0</v>
      </c>
      <c r="V33" s="33">
        <f t="shared" si="20"/>
        <v>0</v>
      </c>
      <c r="W33" s="33">
        <f t="shared" si="20"/>
        <v>0</v>
      </c>
      <c r="X33" s="33">
        <f t="shared" si="20"/>
        <v>0</v>
      </c>
      <c r="Y33" s="33">
        <f t="shared" si="20"/>
        <v>0</v>
      </c>
      <c r="Z33" s="33"/>
      <c r="AA33" s="558"/>
      <c r="AB33" s="477"/>
      <c r="AC33" s="477"/>
      <c r="AD33" s="566">
        <f>-+AA31*(0/12250)</f>
        <v>0</v>
      </c>
      <c r="AE33" s="566">
        <f>-+AB31*(0/12250)</f>
        <v>0</v>
      </c>
      <c r="AF33" s="559">
        <f>+AE33</f>
        <v>0</v>
      </c>
      <c r="AG33" s="33"/>
      <c r="AH33" s="357"/>
      <c r="AI33" s="366"/>
      <c r="AJ33" s="366"/>
      <c r="AK33" s="368">
        <f>-+AH31*(0/12250)</f>
        <v>0</v>
      </c>
      <c r="AL33" s="368">
        <f>-+AI31*(0/12250)</f>
        <v>0</v>
      </c>
      <c r="AM33" s="358">
        <f>+AL33</f>
        <v>0</v>
      </c>
      <c r="AN33" s="33"/>
      <c r="AO33" s="357"/>
      <c r="AP33" s="366"/>
      <c r="AQ33" s="366"/>
      <c r="AR33" s="368">
        <f>-+AO31*(0/12250)</f>
        <v>0</v>
      </c>
      <c r="AS33" s="368">
        <f>-+AP31*(0/12250)</f>
        <v>0</v>
      </c>
      <c r="AT33" s="358">
        <f>+AS33</f>
        <v>0</v>
      </c>
      <c r="AU33" s="33"/>
      <c r="AV33" s="357"/>
      <c r="AW33" s="366"/>
      <c r="AX33" s="366"/>
      <c r="AY33" s="368">
        <f>-+AV31*(0/12250)</f>
        <v>0</v>
      </c>
      <c r="AZ33" s="368">
        <f>-+AW31*(0/12250)</f>
        <v>0</v>
      </c>
      <c r="BA33" s="358">
        <f>+AZ33</f>
        <v>0</v>
      </c>
      <c r="BB33" s="33"/>
      <c r="BC33" s="357"/>
      <c r="BD33" s="366"/>
      <c r="BE33" s="366"/>
      <c r="BF33" s="368">
        <f>-+BC31*(0/12250)</f>
        <v>0</v>
      </c>
      <c r="BG33" s="368">
        <f>-+BD31*(0/12250)</f>
        <v>0</v>
      </c>
      <c r="BH33" s="358">
        <f>+BG33</f>
        <v>0</v>
      </c>
      <c r="BI33" s="33"/>
      <c r="BJ33" s="357"/>
      <c r="BK33" s="366"/>
      <c r="BL33" s="366"/>
      <c r="BM33" s="368">
        <f>-+BJ31*(0/12250)</f>
        <v>0</v>
      </c>
      <c r="BN33" s="368">
        <f>-+BK31*(0/12250)</f>
        <v>0</v>
      </c>
      <c r="BO33" s="358">
        <f>+BN33</f>
        <v>0</v>
      </c>
      <c r="BP33" s="33"/>
      <c r="BQ33" s="357"/>
      <c r="BR33" s="366"/>
      <c r="BS33" s="366"/>
      <c r="BT33" s="368">
        <f>-+BQ31*(0/12250)</f>
        <v>0</v>
      </c>
      <c r="BU33" s="368">
        <f>-+BR31*(0/12250)</f>
        <v>0</v>
      </c>
      <c r="BV33" s="358">
        <f>+BU33</f>
        <v>0</v>
      </c>
      <c r="BW33" s="33"/>
      <c r="BX33" s="357"/>
      <c r="BY33" s="366"/>
      <c r="BZ33" s="366"/>
      <c r="CA33" s="368">
        <f>-+BX31*(0/12250)</f>
        <v>0</v>
      </c>
      <c r="CB33" s="368">
        <f>-+BY31*(0/12250)</f>
        <v>0</v>
      </c>
      <c r="CC33" s="358">
        <f>+CB33</f>
        <v>0</v>
      </c>
      <c r="CD33" s="33"/>
      <c r="CE33" s="357"/>
      <c r="CF33" s="366"/>
      <c r="CG33" s="366"/>
      <c r="CH33" s="368">
        <f>-+CE31*(0/12250)</f>
        <v>0</v>
      </c>
      <c r="CI33" s="368">
        <f>-+CF31*(0/12250)</f>
        <v>0</v>
      </c>
      <c r="CJ33" s="358">
        <f>+CI33</f>
        <v>0</v>
      </c>
      <c r="CK33" s="33"/>
      <c r="CL33" s="357"/>
      <c r="CM33" s="366"/>
      <c r="CN33" s="366"/>
      <c r="CO33" s="368">
        <f>-+CL31*(0/12250)</f>
        <v>0</v>
      </c>
      <c r="CP33" s="368">
        <f>-+CM31*(0/12250)</f>
        <v>0</v>
      </c>
      <c r="CQ33" s="358">
        <f>+CP33</f>
        <v>0</v>
      </c>
      <c r="CR33" s="33"/>
      <c r="CS33" s="357"/>
      <c r="CT33" s="366"/>
      <c r="CU33" s="366"/>
      <c r="CV33" s="368">
        <f>-+CS31*(0/12250)</f>
        <v>0</v>
      </c>
      <c r="CW33" s="368">
        <f>-+CT31*(0/12250)</f>
        <v>0</v>
      </c>
      <c r="CX33" s="358">
        <f>+CW33</f>
        <v>0</v>
      </c>
      <c r="CY33" s="33"/>
      <c r="CZ33" s="357"/>
      <c r="DA33" s="366"/>
      <c r="DB33" s="366"/>
      <c r="DC33" s="368">
        <f>-+CZ31*(0/12250)</f>
        <v>0</v>
      </c>
      <c r="DD33" s="368">
        <f>-+DA31*(0/12250)</f>
        <v>0</v>
      </c>
      <c r="DE33" s="358">
        <f>+DD33</f>
        <v>0</v>
      </c>
      <c r="DF33" s="33"/>
      <c r="DG33" s="357"/>
      <c r="DH33" s="366"/>
      <c r="DI33" s="366"/>
      <c r="DJ33" s="368">
        <f>-+DG31*(0/12250)</f>
        <v>0</v>
      </c>
      <c r="DK33" s="368">
        <f>-+DH31*(0/12250)</f>
        <v>0</v>
      </c>
      <c r="DL33" s="358">
        <f>+DK33</f>
        <v>0</v>
      </c>
      <c r="DM33" s="33"/>
      <c r="DN33" s="357"/>
      <c r="DO33" s="366"/>
      <c r="DP33" s="366"/>
      <c r="DQ33" s="366"/>
      <c r="DR33" s="368">
        <f>-+DO31*(0/12250)</f>
        <v>0</v>
      </c>
      <c r="DS33" s="358">
        <f>+DR33</f>
        <v>0</v>
      </c>
      <c r="DT33" s="33"/>
      <c r="DU33" s="357"/>
      <c r="DV33" s="366"/>
      <c r="DW33" s="366"/>
      <c r="DX33" s="366"/>
      <c r="DY33" s="368">
        <f>-+DV31*(0/12250)</f>
        <v>0</v>
      </c>
      <c r="DZ33" s="358">
        <f>+DY33</f>
        <v>0</v>
      </c>
      <c r="EA33" s="33"/>
      <c r="EB33" s="357"/>
      <c r="EC33" s="366"/>
      <c r="ED33" s="366"/>
      <c r="EE33" s="366"/>
      <c r="EF33" s="368">
        <f>-+EC31*(0/12250)</f>
        <v>0</v>
      </c>
      <c r="EG33" s="358">
        <f>+EF33</f>
        <v>0</v>
      </c>
      <c r="EH33" s="33"/>
      <c r="EI33" s="357"/>
      <c r="EJ33" s="366"/>
      <c r="EK33" s="366"/>
      <c r="EL33" s="366"/>
      <c r="EM33" s="368">
        <f>-+EJ31*(0/12250)</f>
        <v>0</v>
      </c>
      <c r="EN33" s="358">
        <f>+EM33</f>
        <v>0</v>
      </c>
      <c r="EO33" s="33"/>
      <c r="EP33" s="357"/>
      <c r="EQ33" s="366"/>
      <c r="ER33" s="366"/>
      <c r="ES33" s="366"/>
      <c r="ET33" s="368">
        <f>-+EQ31*(0/12250)</f>
        <v>0</v>
      </c>
      <c r="EU33" s="358">
        <f>+ET33</f>
        <v>0</v>
      </c>
      <c r="EV33" s="33"/>
      <c r="EW33" s="357"/>
      <c r="EX33" s="366"/>
      <c r="EY33" s="366"/>
      <c r="EZ33" s="366"/>
      <c r="FA33" s="368">
        <f>-+EX31*(0/12250)</f>
        <v>0</v>
      </c>
      <c r="FB33" s="358">
        <f>+FA33</f>
        <v>0</v>
      </c>
      <c r="FC33" s="33"/>
      <c r="FD33" s="357"/>
      <c r="FE33" s="366"/>
      <c r="FF33" s="366"/>
      <c r="FG33" s="366"/>
      <c r="FH33" s="368">
        <f>-+FE31*(0/12250)</f>
        <v>0</v>
      </c>
      <c r="FI33" s="358">
        <f>+FH33</f>
        <v>0</v>
      </c>
      <c r="FJ33" s="33"/>
      <c r="FK33" s="357"/>
      <c r="FL33" s="366"/>
      <c r="FM33" s="366"/>
      <c r="FN33" s="366"/>
      <c r="FO33" s="368">
        <f>-+FL31*(0/12250)</f>
        <v>0</v>
      </c>
      <c r="FP33" s="358">
        <f>+FO33</f>
        <v>0</v>
      </c>
      <c r="FQ33" s="33"/>
      <c r="FR33" s="357"/>
      <c r="FS33" s="366"/>
      <c r="FT33" s="366"/>
      <c r="FU33" s="366"/>
      <c r="FV33" s="368">
        <f>-+FS31*(6000/12250)+1</f>
        <v>-3400.6326530612246</v>
      </c>
      <c r="FW33" s="358">
        <f>+FV33</f>
        <v>-3400.6326530612246</v>
      </c>
      <c r="FX33" s="33"/>
      <c r="FY33" s="357"/>
      <c r="FZ33" s="366"/>
      <c r="GA33" s="366"/>
      <c r="GB33" s="366"/>
      <c r="GC33" s="368">
        <f>-+FZ31*(6000/12250)</f>
        <v>-2747.2653061224487</v>
      </c>
      <c r="GD33" s="358">
        <f>+GC33</f>
        <v>-2747.2653061224487</v>
      </c>
      <c r="GE33" s="33"/>
      <c r="GF33" s="357"/>
      <c r="GG33" s="366"/>
      <c r="GH33" s="366"/>
      <c r="GI33" s="366"/>
      <c r="GJ33" s="368">
        <f>-+GG31*(6000/12250)</f>
        <v>-2396.0816326530612</v>
      </c>
      <c r="GK33" s="358">
        <f>+GJ33</f>
        <v>-2396.0816326530612</v>
      </c>
      <c r="GL33" s="33"/>
      <c r="GM33" s="357"/>
      <c r="GN33" s="366"/>
      <c r="GO33" s="366"/>
      <c r="GP33" s="366"/>
      <c r="GQ33" s="368">
        <f>-+GN31*(6000/12250)</f>
        <v>-1106.4489795918366</v>
      </c>
      <c r="GR33" s="358">
        <f>+GQ33</f>
        <v>-1106.4489795918366</v>
      </c>
      <c r="GS33" s="33"/>
      <c r="GT33" s="357"/>
      <c r="GU33" s="366"/>
      <c r="GV33" s="366"/>
      <c r="GW33" s="366"/>
      <c r="GX33" s="368">
        <f>-+GU31*(6000/12250)</f>
        <v>-3041.1428571428569</v>
      </c>
      <c r="GY33" s="358">
        <f>+GX33</f>
        <v>-3041.1428571428569</v>
      </c>
      <c r="GZ33" s="33"/>
      <c r="HA33" s="357"/>
      <c r="HB33" s="366"/>
      <c r="HC33" s="366"/>
      <c r="HD33" s="366"/>
      <c r="HE33" s="368">
        <f>-+HB31*(6000/12250)</f>
        <v>-2331.9183673469388</v>
      </c>
      <c r="HF33" s="358">
        <f>+HE33</f>
        <v>-2331.9183673469388</v>
      </c>
      <c r="HG33" s="33"/>
      <c r="HH33" s="357"/>
      <c r="HI33" s="366"/>
      <c r="HJ33" s="366"/>
      <c r="HK33" s="366"/>
      <c r="HL33" s="368">
        <f>-+HI31*(6000/12250)</f>
        <v>-1797.5510204081631</v>
      </c>
      <c r="HM33" s="358">
        <f>+HL33</f>
        <v>-1797.5510204081631</v>
      </c>
      <c r="HN33" s="33"/>
      <c r="HO33" s="357"/>
      <c r="HP33" s="366"/>
      <c r="HQ33" s="366"/>
      <c r="HR33" s="366"/>
      <c r="HS33" s="368">
        <f>-+HP31*(6000/12250)-1</f>
        <v>-882.14285714285711</v>
      </c>
      <c r="HT33" s="358">
        <f>+HS33</f>
        <v>-882.14285714285711</v>
      </c>
      <c r="HU33" s="33"/>
      <c r="HV33" s="33"/>
      <c r="HW33" s="33"/>
      <c r="HX33" s="33"/>
      <c r="HY33" s="33"/>
      <c r="HZ33" s="368">
        <f>-+HW31*(6000/12250)</f>
        <v>-1180.408163265306</v>
      </c>
      <c r="IA33" s="33">
        <f>+HZ33</f>
        <v>-1180.408163265306</v>
      </c>
      <c r="IB33" s="33"/>
      <c r="IC33" s="33"/>
      <c r="ID33" s="33"/>
      <c r="IE33" s="33"/>
      <c r="IF33" s="33"/>
      <c r="IG33" s="368">
        <f>-+ID31*(6000/12250)</f>
        <v>-950.69387755102036</v>
      </c>
      <c r="IH33" s="33">
        <f>+IG33</f>
        <v>-950.69387755102036</v>
      </c>
      <c r="II33" s="127"/>
      <c r="IJ33" s="33"/>
      <c r="IK33" s="33"/>
      <c r="IL33" s="33"/>
      <c r="IM33" s="33"/>
      <c r="IN33" s="368">
        <v>-984</v>
      </c>
      <c r="IO33" s="33">
        <v>-984</v>
      </c>
      <c r="IP33" s="127"/>
      <c r="IQ33" s="33"/>
      <c r="IR33" s="33"/>
      <c r="IS33" s="33"/>
      <c r="IT33" s="33"/>
      <c r="IU33" s="368">
        <f>-+IR31*(6000/12250)</f>
        <v>-528.9795918367347</v>
      </c>
      <c r="IV33" s="33">
        <v>-529</v>
      </c>
    </row>
    <row r="34" spans="1:256">
      <c r="A34" s="30"/>
      <c r="B34" s="30"/>
      <c r="C34" s="30"/>
      <c r="D34" s="30"/>
      <c r="E34" s="30"/>
      <c r="F34" s="357"/>
      <c r="G34" s="366"/>
      <c r="H34" s="366"/>
      <c r="I34" s="366"/>
      <c r="J34" s="366"/>
      <c r="K34" s="358"/>
      <c r="L34" s="33"/>
      <c r="M34" s="558"/>
      <c r="N34" s="477"/>
      <c r="O34" s="477"/>
      <c r="P34" s="477"/>
      <c r="Q34" s="477"/>
      <c r="R34" s="559"/>
      <c r="S34" s="366"/>
      <c r="T34" s="33"/>
      <c r="U34" s="33"/>
      <c r="V34" s="33"/>
      <c r="W34" s="33"/>
      <c r="X34" s="33"/>
      <c r="Y34" s="33"/>
      <c r="Z34" s="33"/>
      <c r="AA34" s="558"/>
      <c r="AB34" s="477"/>
      <c r="AC34" s="477"/>
      <c r="AD34" s="477"/>
      <c r="AE34" s="477"/>
      <c r="AF34" s="559"/>
      <c r="AG34" s="33"/>
      <c r="AH34" s="357"/>
      <c r="AI34" s="366"/>
      <c r="AJ34" s="366"/>
      <c r="AK34" s="366"/>
      <c r="AL34" s="366"/>
      <c r="AM34" s="358"/>
      <c r="AN34" s="33"/>
      <c r="AO34" s="357"/>
      <c r="AP34" s="366"/>
      <c r="AQ34" s="366"/>
      <c r="AR34" s="366"/>
      <c r="AS34" s="366"/>
      <c r="AT34" s="358"/>
      <c r="AU34" s="33"/>
      <c r="AV34" s="357"/>
      <c r="AW34" s="366"/>
      <c r="AX34" s="366"/>
      <c r="AY34" s="366"/>
      <c r="AZ34" s="366"/>
      <c r="BA34" s="358"/>
      <c r="BB34" s="33"/>
      <c r="BC34" s="357"/>
      <c r="BD34" s="366"/>
      <c r="BE34" s="366"/>
      <c r="BF34" s="366"/>
      <c r="BG34" s="366"/>
      <c r="BH34" s="358"/>
      <c r="BI34" s="33"/>
      <c r="BJ34" s="357"/>
      <c r="BK34" s="366"/>
      <c r="BL34" s="366"/>
      <c r="BM34" s="366"/>
      <c r="BN34" s="366"/>
      <c r="BO34" s="358"/>
      <c r="BP34" s="33"/>
      <c r="BQ34" s="357"/>
      <c r="BR34" s="366"/>
      <c r="BS34" s="366"/>
      <c r="BT34" s="366"/>
      <c r="BU34" s="366"/>
      <c r="BV34" s="358"/>
      <c r="BW34" s="33"/>
      <c r="BX34" s="357"/>
      <c r="BY34" s="366"/>
      <c r="BZ34" s="366"/>
      <c r="CA34" s="366"/>
      <c r="CB34" s="366"/>
      <c r="CC34" s="358"/>
      <c r="CD34" s="33"/>
      <c r="CE34" s="357"/>
      <c r="CF34" s="366"/>
      <c r="CG34" s="366"/>
      <c r="CH34" s="366"/>
      <c r="CI34" s="366"/>
      <c r="CJ34" s="358"/>
      <c r="CK34" s="33"/>
      <c r="CL34" s="357"/>
      <c r="CM34" s="366"/>
      <c r="CN34" s="366"/>
      <c r="CO34" s="366"/>
      <c r="CP34" s="366"/>
      <c r="CQ34" s="358"/>
      <c r="CR34" s="33"/>
      <c r="CS34" s="357"/>
      <c r="CT34" s="366"/>
      <c r="CU34" s="366"/>
      <c r="CV34" s="366"/>
      <c r="CW34" s="366"/>
      <c r="CX34" s="358"/>
      <c r="CY34" s="33"/>
      <c r="CZ34" s="357"/>
      <c r="DA34" s="366"/>
      <c r="DB34" s="366"/>
      <c r="DC34" s="366"/>
      <c r="DD34" s="366"/>
      <c r="DE34" s="358"/>
      <c r="DF34" s="33"/>
      <c r="DG34" s="357"/>
      <c r="DH34" s="366"/>
      <c r="DI34" s="366"/>
      <c r="DJ34" s="366"/>
      <c r="DK34" s="366"/>
      <c r="DL34" s="358"/>
      <c r="DM34" s="33"/>
      <c r="DN34" s="357"/>
      <c r="DO34" s="366"/>
      <c r="DP34" s="366"/>
      <c r="DQ34" s="366"/>
      <c r="DR34" s="366"/>
      <c r="DS34" s="358"/>
      <c r="DT34" s="33"/>
      <c r="DU34" s="357"/>
      <c r="DV34" s="366"/>
      <c r="DW34" s="366"/>
      <c r="DX34" s="366"/>
      <c r="DY34" s="366"/>
      <c r="DZ34" s="358"/>
      <c r="EA34" s="33"/>
      <c r="EB34" s="357"/>
      <c r="EC34" s="366"/>
      <c r="ED34" s="366"/>
      <c r="EE34" s="366"/>
      <c r="EF34" s="366"/>
      <c r="EG34" s="358"/>
      <c r="EH34" s="33"/>
      <c r="EI34" s="357"/>
      <c r="EJ34" s="366"/>
      <c r="EK34" s="366"/>
      <c r="EL34" s="366"/>
      <c r="EM34" s="366"/>
      <c r="EN34" s="358"/>
      <c r="EO34" s="33"/>
      <c r="EP34" s="357"/>
      <c r="EQ34" s="366"/>
      <c r="ER34" s="366"/>
      <c r="ES34" s="366"/>
      <c r="ET34" s="366"/>
      <c r="EU34" s="358"/>
      <c r="EV34" s="33"/>
      <c r="EW34" s="357"/>
      <c r="EX34" s="366"/>
      <c r="EY34" s="366"/>
      <c r="EZ34" s="366"/>
      <c r="FA34" s="366"/>
      <c r="FB34" s="358"/>
      <c r="FC34" s="33"/>
      <c r="FD34" s="357"/>
      <c r="FE34" s="366"/>
      <c r="FF34" s="366"/>
      <c r="FG34" s="366"/>
      <c r="FH34" s="366"/>
      <c r="FI34" s="358"/>
      <c r="FJ34" s="33"/>
      <c r="FK34" s="357"/>
      <c r="FL34" s="366"/>
      <c r="FM34" s="366"/>
      <c r="FN34" s="366"/>
      <c r="FO34" s="366"/>
      <c r="FP34" s="358"/>
      <c r="FQ34" s="33"/>
      <c r="FR34" s="357"/>
      <c r="FS34" s="366"/>
      <c r="FT34" s="366"/>
      <c r="FU34" s="366"/>
      <c r="FV34" s="366"/>
      <c r="FW34" s="358"/>
      <c r="FX34" s="33"/>
      <c r="FY34" s="357"/>
      <c r="FZ34" s="366"/>
      <c r="GA34" s="366"/>
      <c r="GB34" s="366"/>
      <c r="GC34" s="366"/>
      <c r="GD34" s="358"/>
      <c r="GE34" s="33"/>
      <c r="GF34" s="357"/>
      <c r="GG34" s="366"/>
      <c r="GH34" s="366"/>
      <c r="GI34" s="366"/>
      <c r="GJ34" s="366"/>
      <c r="GK34" s="358"/>
      <c r="GL34" s="33"/>
      <c r="GM34" s="357"/>
      <c r="GN34" s="366"/>
      <c r="GO34" s="366"/>
      <c r="GP34" s="366"/>
      <c r="GQ34" s="366"/>
      <c r="GR34" s="358"/>
      <c r="GS34" s="33"/>
      <c r="GT34" s="357"/>
      <c r="GU34" s="366"/>
      <c r="GV34" s="366"/>
      <c r="GW34" s="366"/>
      <c r="GX34" s="366"/>
      <c r="GY34" s="358"/>
      <c r="GZ34" s="33"/>
      <c r="HA34" s="357"/>
      <c r="HB34" s="366"/>
      <c r="HC34" s="366"/>
      <c r="HD34" s="366"/>
      <c r="HE34" s="366"/>
      <c r="HF34" s="358"/>
      <c r="HG34" s="33"/>
      <c r="HH34" s="357"/>
      <c r="HI34" s="366"/>
      <c r="HJ34" s="366"/>
      <c r="HK34" s="366"/>
      <c r="HL34" s="366"/>
      <c r="HM34" s="358"/>
      <c r="HN34" s="33"/>
      <c r="HO34" s="357"/>
      <c r="HP34" s="366"/>
      <c r="HQ34" s="366"/>
      <c r="HR34" s="366"/>
      <c r="HS34" s="366"/>
      <c r="HT34" s="358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127"/>
      <c r="IJ34" s="33"/>
      <c r="IK34" s="33"/>
      <c r="IL34" s="33"/>
      <c r="IM34" s="33"/>
      <c r="IN34" s="33"/>
      <c r="IO34" s="33"/>
      <c r="IP34" s="127"/>
      <c r="IQ34" s="33"/>
      <c r="IR34" s="33"/>
      <c r="IS34" s="33"/>
      <c r="IT34" s="33"/>
      <c r="IU34" s="33"/>
      <c r="IV34" s="33"/>
    </row>
    <row r="35" spans="1:256">
      <c r="A35" s="30"/>
      <c r="B35" s="30"/>
      <c r="C35" s="30"/>
      <c r="D35" s="30"/>
      <c r="E35" s="30"/>
      <c r="F35" s="357"/>
      <c r="G35" s="366"/>
      <c r="H35" s="366"/>
      <c r="I35" s="366"/>
      <c r="J35" s="366"/>
      <c r="K35" s="358"/>
      <c r="L35" s="33"/>
      <c r="M35" s="558"/>
      <c r="N35" s="477"/>
      <c r="O35" s="477"/>
      <c r="P35" s="477"/>
      <c r="Q35" s="477"/>
      <c r="R35" s="559"/>
      <c r="S35" s="366"/>
      <c r="T35" s="33"/>
      <c r="U35" s="33"/>
      <c r="V35" s="33"/>
      <c r="W35" s="33"/>
      <c r="X35" s="33"/>
      <c r="Y35" s="33"/>
      <c r="Z35" s="33"/>
      <c r="AA35" s="558"/>
      <c r="AB35" s="477"/>
      <c r="AC35" s="477"/>
      <c r="AD35" s="477"/>
      <c r="AE35" s="477"/>
      <c r="AF35" s="559"/>
      <c r="AG35" s="33"/>
      <c r="AH35" s="357"/>
      <c r="AI35" s="366"/>
      <c r="AJ35" s="366"/>
      <c r="AK35" s="366"/>
      <c r="AL35" s="366"/>
      <c r="AM35" s="358"/>
      <c r="AN35" s="33"/>
      <c r="AO35" s="357"/>
      <c r="AP35" s="366"/>
      <c r="AQ35" s="366"/>
      <c r="AR35" s="366"/>
      <c r="AS35" s="366"/>
      <c r="AT35" s="358"/>
      <c r="AU35" s="33"/>
      <c r="AV35" s="357"/>
      <c r="AW35" s="366"/>
      <c r="AX35" s="366"/>
      <c r="AY35" s="366"/>
      <c r="AZ35" s="366"/>
      <c r="BA35" s="358"/>
      <c r="BB35" s="33"/>
      <c r="BC35" s="357"/>
      <c r="BD35" s="366"/>
      <c r="BE35" s="366"/>
      <c r="BF35" s="366"/>
      <c r="BG35" s="366"/>
      <c r="BH35" s="358"/>
      <c r="BI35" s="33"/>
      <c r="BJ35" s="357"/>
      <c r="BK35" s="366"/>
      <c r="BL35" s="366"/>
      <c r="BM35" s="366"/>
      <c r="BN35" s="366"/>
      <c r="BO35" s="358"/>
      <c r="BP35" s="33"/>
      <c r="BQ35" s="357"/>
      <c r="BR35" s="366"/>
      <c r="BS35" s="366"/>
      <c r="BT35" s="366"/>
      <c r="BU35" s="366"/>
      <c r="BV35" s="358"/>
      <c r="BW35" s="33"/>
      <c r="BX35" s="357"/>
      <c r="BY35" s="366"/>
      <c r="BZ35" s="366"/>
      <c r="CA35" s="366"/>
      <c r="CB35" s="366"/>
      <c r="CC35" s="358"/>
      <c r="CD35" s="33"/>
      <c r="CE35" s="357"/>
      <c r="CF35" s="366"/>
      <c r="CG35" s="366"/>
      <c r="CH35" s="366"/>
      <c r="CI35" s="366"/>
      <c r="CJ35" s="358"/>
      <c r="CK35" s="33"/>
      <c r="CL35" s="357"/>
      <c r="CM35" s="366"/>
      <c r="CN35" s="366"/>
      <c r="CO35" s="366"/>
      <c r="CP35" s="366"/>
      <c r="CQ35" s="358"/>
      <c r="CR35" s="33"/>
      <c r="CS35" s="357"/>
      <c r="CT35" s="366"/>
      <c r="CU35" s="366"/>
      <c r="CV35" s="366"/>
      <c r="CW35" s="366"/>
      <c r="CX35" s="358"/>
      <c r="CY35" s="33"/>
      <c r="CZ35" s="357"/>
      <c r="DA35" s="366"/>
      <c r="DB35" s="366"/>
      <c r="DC35" s="366"/>
      <c r="DD35" s="366"/>
      <c r="DE35" s="358"/>
      <c r="DF35" s="33"/>
      <c r="DG35" s="357"/>
      <c r="DH35" s="366"/>
      <c r="DI35" s="366"/>
      <c r="DJ35" s="366"/>
      <c r="DK35" s="366"/>
      <c r="DL35" s="358"/>
      <c r="DM35" s="33"/>
      <c r="DN35" s="357"/>
      <c r="DO35" s="366"/>
      <c r="DP35" s="366"/>
      <c r="DQ35" s="366"/>
      <c r="DR35" s="366"/>
      <c r="DS35" s="358"/>
      <c r="DT35" s="33"/>
      <c r="DU35" s="357"/>
      <c r="DV35" s="366"/>
      <c r="DW35" s="366"/>
      <c r="DX35" s="366"/>
      <c r="DY35" s="366"/>
      <c r="DZ35" s="358"/>
      <c r="EA35" s="33"/>
      <c r="EB35" s="357"/>
      <c r="EC35" s="366"/>
      <c r="ED35" s="366"/>
      <c r="EE35" s="366"/>
      <c r="EF35" s="366"/>
      <c r="EG35" s="358"/>
      <c r="EH35" s="33"/>
      <c r="EI35" s="357"/>
      <c r="EJ35" s="366"/>
      <c r="EK35" s="366"/>
      <c r="EL35" s="366"/>
      <c r="EM35" s="366"/>
      <c r="EN35" s="358"/>
      <c r="EO35" s="33"/>
      <c r="EP35" s="357"/>
      <c r="EQ35" s="366"/>
      <c r="ER35" s="366"/>
      <c r="ES35" s="366"/>
      <c r="ET35" s="366"/>
      <c r="EU35" s="358"/>
      <c r="EV35" s="33"/>
      <c r="EW35" s="357"/>
      <c r="EX35" s="366"/>
      <c r="EY35" s="366"/>
      <c r="EZ35" s="366"/>
      <c r="FA35" s="366"/>
      <c r="FB35" s="358"/>
      <c r="FC35" s="33"/>
      <c r="FD35" s="357"/>
      <c r="FE35" s="366"/>
      <c r="FF35" s="366"/>
      <c r="FG35" s="366"/>
      <c r="FH35" s="366"/>
      <c r="FI35" s="358"/>
      <c r="FJ35" s="33"/>
      <c r="FK35" s="357"/>
      <c r="FL35" s="366"/>
      <c r="FM35" s="366"/>
      <c r="FN35" s="366"/>
      <c r="FO35" s="366"/>
      <c r="FP35" s="358"/>
      <c r="FQ35" s="33"/>
      <c r="FR35" s="357"/>
      <c r="FS35" s="366"/>
      <c r="FT35" s="366"/>
      <c r="FU35" s="366"/>
      <c r="FV35" s="366"/>
      <c r="FW35" s="358"/>
      <c r="FX35" s="33"/>
      <c r="FY35" s="357"/>
      <c r="FZ35" s="366"/>
      <c r="GA35" s="366"/>
      <c r="GB35" s="366"/>
      <c r="GC35" s="366"/>
      <c r="GD35" s="358"/>
      <c r="GE35" s="33"/>
      <c r="GF35" s="357"/>
      <c r="GG35" s="366"/>
      <c r="GH35" s="366"/>
      <c r="GI35" s="366"/>
      <c r="GJ35" s="366"/>
      <c r="GK35" s="358"/>
      <c r="GL35" s="33"/>
      <c r="GM35" s="357"/>
      <c r="GN35" s="366"/>
      <c r="GO35" s="366"/>
      <c r="GP35" s="366"/>
      <c r="GQ35" s="366"/>
      <c r="GR35" s="358"/>
      <c r="GS35" s="33"/>
      <c r="GT35" s="357"/>
      <c r="GU35" s="366"/>
      <c r="GV35" s="366"/>
      <c r="GW35" s="366"/>
      <c r="GX35" s="366"/>
      <c r="GY35" s="358"/>
      <c r="GZ35" s="33"/>
      <c r="HA35" s="357"/>
      <c r="HB35" s="366"/>
      <c r="HC35" s="366"/>
      <c r="HD35" s="366"/>
      <c r="HE35" s="366"/>
      <c r="HF35" s="358"/>
      <c r="HG35" s="33"/>
      <c r="HH35" s="357"/>
      <c r="HI35" s="366"/>
      <c r="HJ35" s="366"/>
      <c r="HK35" s="366"/>
      <c r="HL35" s="366"/>
      <c r="HM35" s="358"/>
      <c r="HN35" s="33"/>
      <c r="HO35" s="357"/>
      <c r="HP35" s="366"/>
      <c r="HQ35" s="366"/>
      <c r="HR35" s="366"/>
      <c r="HS35" s="366"/>
      <c r="HT35" s="358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127"/>
      <c r="IJ35" s="33"/>
      <c r="IK35" s="33"/>
      <c r="IL35" s="33"/>
      <c r="IM35" s="33"/>
      <c r="IN35" s="33"/>
      <c r="IO35" s="33"/>
      <c r="IP35" s="127"/>
      <c r="IQ35" s="33"/>
      <c r="IR35" s="33"/>
      <c r="IS35" s="33"/>
      <c r="IT35" s="33"/>
      <c r="IU35" s="33"/>
      <c r="IV35" s="33"/>
    </row>
    <row r="36" spans="1:256">
      <c r="A36" s="30" t="s">
        <v>348</v>
      </c>
      <c r="B36" s="30"/>
      <c r="C36" s="30"/>
      <c r="D36" s="30"/>
      <c r="E36" s="30"/>
      <c r="F36" s="369">
        <f>SUM(F31:F34)</f>
        <v>3190</v>
      </c>
      <c r="G36" s="370">
        <f>SUM(G31:G34)</f>
        <v>-602</v>
      </c>
      <c r="H36" s="370">
        <f>SUM(H31:H34)</f>
        <v>0</v>
      </c>
      <c r="I36" s="370">
        <f>SUM(I31:I34)</f>
        <v>0</v>
      </c>
      <c r="J36" s="370">
        <f>SUM(J31:J34)</f>
        <v>-88</v>
      </c>
      <c r="K36" s="371">
        <f>+K31+K33</f>
        <v>2500</v>
      </c>
      <c r="L36" s="33"/>
      <c r="M36" s="567">
        <f>SUM(M31:M34)</f>
        <v>0</v>
      </c>
      <c r="N36" s="568">
        <f>SUM(N31:N34)</f>
        <v>0</v>
      </c>
      <c r="O36" s="568">
        <f>SUM(O31:O34)</f>
        <v>0</v>
      </c>
      <c r="P36" s="568">
        <f>SUM(P31:P34)</f>
        <v>0</v>
      </c>
      <c r="Q36" s="568">
        <f>SUM(Q31:Q34)</f>
        <v>0</v>
      </c>
      <c r="R36" s="569">
        <f>+R31+R33</f>
        <v>0</v>
      </c>
      <c r="S36" s="366"/>
      <c r="T36" s="370">
        <f>SUM(T31:T34)</f>
        <v>3190</v>
      </c>
      <c r="U36" s="370">
        <f>SUM(U31:U34)</f>
        <v>-602</v>
      </c>
      <c r="V36" s="370">
        <f>SUM(V31:V34)</f>
        <v>0</v>
      </c>
      <c r="W36" s="370">
        <f>SUM(W31:W34)</f>
        <v>0</v>
      </c>
      <c r="X36" s="370">
        <f>SUM(X31:X34)</f>
        <v>-88</v>
      </c>
      <c r="Y36" s="370">
        <f>+Y31+Y33</f>
        <v>2500</v>
      </c>
      <c r="Z36" s="33"/>
      <c r="AA36" s="567">
        <f>SUM(AA31:AA34)</f>
        <v>5385</v>
      </c>
      <c r="AB36" s="568">
        <f>SUM(AB31:AB34)</f>
        <v>849</v>
      </c>
      <c r="AC36" s="568">
        <f>SUM(AC31:AC34)</f>
        <v>0</v>
      </c>
      <c r="AD36" s="568">
        <f>SUM(AD31:AD34)</f>
        <v>0</v>
      </c>
      <c r="AE36" s="568">
        <f>SUM(AE31:AE34)</f>
        <v>-84</v>
      </c>
      <c r="AF36" s="569">
        <f>+AF31+AF33</f>
        <v>6150</v>
      </c>
      <c r="AG36" s="33"/>
      <c r="AH36" s="369">
        <f>SUM(AH31:AH34)</f>
        <v>2754</v>
      </c>
      <c r="AI36" s="370">
        <f>SUM(AI31:AI34)</f>
        <v>271</v>
      </c>
      <c r="AJ36" s="370">
        <f>SUM(AJ31:AJ34)</f>
        <v>0</v>
      </c>
      <c r="AK36" s="370">
        <f>SUM(AK31:AK34)</f>
        <v>0</v>
      </c>
      <c r="AL36" s="370">
        <f>SUM(AL31:AL34)</f>
        <v>-315</v>
      </c>
      <c r="AM36" s="371">
        <f>+AM31+AM33</f>
        <v>2710</v>
      </c>
      <c r="AN36" s="33"/>
      <c r="AO36" s="369">
        <f>SUM(AO31:AO34)</f>
        <v>2262</v>
      </c>
      <c r="AP36" s="370">
        <f>SUM(AP31:AP34)</f>
        <v>-66</v>
      </c>
      <c r="AQ36" s="370">
        <f>SUM(AQ31:AQ34)</f>
        <v>0</v>
      </c>
      <c r="AR36" s="370">
        <f>SUM(AR31:AR34)</f>
        <v>0</v>
      </c>
      <c r="AS36" s="370">
        <f>SUM(AS31:AS34)</f>
        <v>69</v>
      </c>
      <c r="AT36" s="371">
        <f>+AT31+AT33</f>
        <v>2265</v>
      </c>
      <c r="AU36" s="33"/>
      <c r="AV36" s="369">
        <f>SUM(AV31:AV34)</f>
        <v>1570</v>
      </c>
      <c r="AW36" s="370">
        <f>SUM(AW31:AW34)</f>
        <v>-147</v>
      </c>
      <c r="AX36" s="370">
        <f>SUM(AX31:AX34)</f>
        <v>0</v>
      </c>
      <c r="AY36" s="370">
        <f>SUM(AY31:AY34)</f>
        <v>0</v>
      </c>
      <c r="AZ36" s="370">
        <f>SUM(AZ31:AZ34)</f>
        <v>102</v>
      </c>
      <c r="BA36" s="371">
        <f>+BA31+BA33</f>
        <v>1525</v>
      </c>
      <c r="BB36" s="33"/>
      <c r="BC36" s="369">
        <f>SUM(BC31:BC34)</f>
        <v>5030</v>
      </c>
      <c r="BD36" s="370">
        <f>SUM(BD31:BD34)</f>
        <v>1135</v>
      </c>
      <c r="BE36" s="370">
        <f>SUM(BE31:BE34)</f>
        <v>0</v>
      </c>
      <c r="BF36" s="370">
        <f>SUM(BF31:BF34)</f>
        <v>0</v>
      </c>
      <c r="BG36" s="370">
        <f>SUM(BG31:BG34)</f>
        <v>-472</v>
      </c>
      <c r="BH36" s="371">
        <f>+BH31+BH33</f>
        <v>5688</v>
      </c>
      <c r="BI36" s="33"/>
      <c r="BJ36" s="369">
        <f>SUM(BJ31:BJ34)</f>
        <v>3824</v>
      </c>
      <c r="BK36" s="370">
        <f>SUM(BK31:BK34)</f>
        <v>1270</v>
      </c>
      <c r="BL36" s="370">
        <f>SUM(BL31:BL34)</f>
        <v>0</v>
      </c>
      <c r="BM36" s="370">
        <f>SUM(BM31:BM34)</f>
        <v>0</v>
      </c>
      <c r="BN36" s="370">
        <f>SUM(BN31:BN34)</f>
        <v>-834</v>
      </c>
      <c r="BO36" s="371">
        <f>+BO31+BO33</f>
        <v>4260</v>
      </c>
      <c r="BP36" s="33"/>
      <c r="BQ36" s="369">
        <f>SUM(BQ31:BQ34)</f>
        <v>1149</v>
      </c>
      <c r="BR36" s="370">
        <f>SUM(BR31:BR34)</f>
        <v>1269</v>
      </c>
      <c r="BS36" s="370">
        <f>SUM(BS31:BS34)</f>
        <v>0</v>
      </c>
      <c r="BT36" s="370">
        <f>SUM(BT31:BT34)</f>
        <v>0</v>
      </c>
      <c r="BU36" s="370">
        <f>SUM(BU31:BU34)</f>
        <v>-598</v>
      </c>
      <c r="BV36" s="371">
        <f>+BV31+BV33</f>
        <v>1821</v>
      </c>
      <c r="BW36" s="33"/>
      <c r="BX36" s="369">
        <f>SUM(BX31:BX34)</f>
        <v>-110</v>
      </c>
      <c r="BY36" s="370">
        <f>SUM(BY31:BY34)</f>
        <v>850</v>
      </c>
      <c r="BZ36" s="370">
        <f>SUM(BZ31:BZ34)</f>
        <v>0</v>
      </c>
      <c r="CA36" s="370">
        <f>SUM(CA31:CA34)</f>
        <v>0</v>
      </c>
      <c r="CB36" s="370">
        <f>SUM(CB31:CB34)</f>
        <v>-668</v>
      </c>
      <c r="CC36" s="371">
        <f>+CC31+CC33</f>
        <v>71</v>
      </c>
      <c r="CD36" s="33"/>
      <c r="CE36" s="369">
        <f>SUM(CE31:CE34)</f>
        <v>-2205</v>
      </c>
      <c r="CF36" s="370">
        <f>SUM(CF31:CF34)</f>
        <v>175</v>
      </c>
      <c r="CG36" s="370">
        <f>SUM(CG31:CG34)</f>
        <v>0</v>
      </c>
      <c r="CH36" s="370">
        <f>SUM(CH31:CH34)</f>
        <v>361</v>
      </c>
      <c r="CI36" s="370">
        <f>SUM(CI31:CI34)</f>
        <v>1030</v>
      </c>
      <c r="CJ36" s="371">
        <f>+CJ31+CJ33</f>
        <v>-638</v>
      </c>
      <c r="CK36" s="33"/>
      <c r="CL36" s="369">
        <f>SUM(CL31:CL34)</f>
        <v>5125</v>
      </c>
      <c r="CM36" s="370">
        <f>SUM(CM31:CM34)</f>
        <v>1215</v>
      </c>
      <c r="CN36" s="370">
        <f>SUM(CN31:CN34)</f>
        <v>0</v>
      </c>
      <c r="CO36" s="370">
        <f>SUM(CO31:CO34)</f>
        <v>361</v>
      </c>
      <c r="CP36" s="370">
        <f>SUM(CP31:CP34)</f>
        <v>1030</v>
      </c>
      <c r="CQ36" s="371">
        <f>+CQ31+CQ33</f>
        <v>7887</v>
      </c>
      <c r="CR36" s="33"/>
      <c r="CS36" s="369">
        <f>SUM(CS31:CS34)</f>
        <v>6720</v>
      </c>
      <c r="CT36" s="370">
        <f>SUM(CT31:CT34)</f>
        <v>2080</v>
      </c>
      <c r="CU36" s="370">
        <f>SUM(CU31:CU34)</f>
        <v>0</v>
      </c>
      <c r="CV36" s="370">
        <f>SUM(CV31:CV34)</f>
        <v>361</v>
      </c>
      <c r="CW36" s="370">
        <f>SUM(CW31:CW34)</f>
        <v>26</v>
      </c>
      <c r="CX36" s="371">
        <f>+CX31+CX33</f>
        <v>9187</v>
      </c>
      <c r="CY36" s="33"/>
      <c r="CZ36" s="369">
        <f>SUM(CZ31:CZ34)</f>
        <v>4370</v>
      </c>
      <c r="DA36" s="370">
        <f>SUM(DA31:DA34)</f>
        <v>1345</v>
      </c>
      <c r="DB36" s="370">
        <f>SUM(DB31:DB34)</f>
        <v>0</v>
      </c>
      <c r="DC36" s="370">
        <f>SUM(DC31:DC34)</f>
        <v>361</v>
      </c>
      <c r="DD36" s="370">
        <f>SUM(DD31:DD34)</f>
        <v>157</v>
      </c>
      <c r="DE36" s="371">
        <f>+DE31+DE33</f>
        <v>6233</v>
      </c>
      <c r="DF36" s="33"/>
      <c r="DG36" s="369">
        <f>SUM(DG31:DG34)</f>
        <v>15781</v>
      </c>
      <c r="DH36" s="370">
        <f>SUM(DH31:DH34)</f>
        <v>2485</v>
      </c>
      <c r="DI36" s="370">
        <f>SUM(DI31:DI34)</f>
        <v>0</v>
      </c>
      <c r="DJ36" s="370">
        <f>SUM(DJ31:DJ34)</f>
        <v>-361</v>
      </c>
      <c r="DK36" s="370">
        <f>SUM(DK31:DK34)</f>
        <v>308</v>
      </c>
      <c r="DL36" s="371">
        <f>+DL31+DL33</f>
        <v>18213</v>
      </c>
      <c r="DM36" s="33"/>
      <c r="DN36" s="369">
        <f>SUM(DN31:DN34)</f>
        <v>12500</v>
      </c>
      <c r="DO36" s="370">
        <f>SUM(DO31:DO34)</f>
        <v>1570</v>
      </c>
      <c r="DP36" s="370">
        <f>SUM(DP31:DP34)</f>
        <v>0</v>
      </c>
      <c r="DQ36" s="370">
        <f>SUM(DQ31:DQ34)</f>
        <v>0</v>
      </c>
      <c r="DR36" s="370">
        <f>SUM(DR31:DR34)</f>
        <v>71</v>
      </c>
      <c r="DS36" s="371">
        <f>+DS31+DS33</f>
        <v>14141</v>
      </c>
      <c r="DT36" s="33"/>
      <c r="DU36" s="369">
        <f>SUM(DU31:DU34)</f>
        <v>10305</v>
      </c>
      <c r="DV36" s="370">
        <f>SUM(DV31:DV34)</f>
        <v>1685</v>
      </c>
      <c r="DW36" s="370">
        <f>SUM(DW31:DW34)</f>
        <v>0</v>
      </c>
      <c r="DX36" s="370">
        <f>SUM(DX31:DX34)</f>
        <v>0</v>
      </c>
      <c r="DY36" s="370">
        <f>SUM(DY31:DY34)</f>
        <v>-115</v>
      </c>
      <c r="DZ36" s="371">
        <f>+DZ31+DZ33</f>
        <v>11875</v>
      </c>
      <c r="EA36" s="33"/>
      <c r="EB36" s="369">
        <f>SUM(EB31:EB34)</f>
        <v>5665</v>
      </c>
      <c r="EC36" s="370">
        <f>SUM(EC31:EC34)</f>
        <v>1175</v>
      </c>
      <c r="ED36" s="370">
        <f>SUM(ED31:ED34)</f>
        <v>0</v>
      </c>
      <c r="EE36" s="370">
        <f>SUM(EE31:EE34)</f>
        <v>0</v>
      </c>
      <c r="EF36" s="370">
        <f>SUM(EF31:EF34)</f>
        <v>-22</v>
      </c>
      <c r="EG36" s="371">
        <f>+EG31+EG33</f>
        <v>6818</v>
      </c>
      <c r="EH36" s="33"/>
      <c r="EI36" s="369">
        <f>SUM(EI31:EI34)</f>
        <v>2435</v>
      </c>
      <c r="EJ36" s="370">
        <f>SUM(EJ31:EJ34)</f>
        <v>305</v>
      </c>
      <c r="EK36" s="370">
        <f>SUM(EK31:EK34)</f>
        <v>0</v>
      </c>
      <c r="EL36" s="370">
        <f>SUM(EL31:EL34)</f>
        <v>0</v>
      </c>
      <c r="EM36" s="370">
        <f>SUM(EM31:EM34)</f>
        <v>-344</v>
      </c>
      <c r="EN36" s="371">
        <f>+EN31+EN33</f>
        <v>2396</v>
      </c>
      <c r="EO36" s="33"/>
      <c r="EP36" s="369">
        <f>SUM(EP31:EP34)</f>
        <v>17125</v>
      </c>
      <c r="EQ36" s="370">
        <f>SUM(EQ31:EQ34)</f>
        <v>4560</v>
      </c>
      <c r="ER36" s="370">
        <f>SUM(ER31:ER34)</f>
        <v>0</v>
      </c>
      <c r="ES36" s="370">
        <f>SUM(ES31:ES34)</f>
        <v>0</v>
      </c>
      <c r="ET36" s="370">
        <f>SUM(ET31:ET34)</f>
        <v>-7719</v>
      </c>
      <c r="EU36" s="371">
        <f>+EU31+EU33</f>
        <v>13966</v>
      </c>
      <c r="EV36" s="33"/>
      <c r="EW36" s="369">
        <f>SUM(EW31:EW34)</f>
        <v>8430</v>
      </c>
      <c r="EX36" s="370">
        <f>SUM(EX31:EX34)</f>
        <v>3710</v>
      </c>
      <c r="EY36" s="370">
        <f>SUM(EY31:EY34)</f>
        <v>0</v>
      </c>
      <c r="EZ36" s="370">
        <f>SUM(EZ31:EZ34)</f>
        <v>0</v>
      </c>
      <c r="FA36" s="370">
        <f>SUM(FA31:FA34)</f>
        <v>-82</v>
      </c>
      <c r="FB36" s="371">
        <f>+FB31+FB33</f>
        <v>12058</v>
      </c>
      <c r="FC36" s="33"/>
      <c r="FD36" s="369">
        <f>SUM(FD31:FD34)</f>
        <v>6285</v>
      </c>
      <c r="FE36" s="370">
        <f>SUM(FE31:FE34)</f>
        <v>3497</v>
      </c>
      <c r="FF36" s="370">
        <f>SUM(FF31:FF34)</f>
        <v>0</v>
      </c>
      <c r="FG36" s="370">
        <f>SUM(FG31:FG34)</f>
        <v>0</v>
      </c>
      <c r="FH36" s="370">
        <f>SUM(FH31:FH34)</f>
        <v>12</v>
      </c>
      <c r="FI36" s="371">
        <f>+FI31+FI33</f>
        <v>9794</v>
      </c>
      <c r="FJ36" s="33"/>
      <c r="FK36" s="369">
        <f>SUM(FK31:FK34)</f>
        <v>3555</v>
      </c>
      <c r="FL36" s="370">
        <f>SUM(FL31:FL34)</f>
        <v>2145</v>
      </c>
      <c r="FM36" s="370">
        <f>SUM(FM31:FM34)</f>
        <v>0</v>
      </c>
      <c r="FN36" s="370">
        <f>SUM(FN31:FN34)</f>
        <v>0</v>
      </c>
      <c r="FO36" s="370">
        <f>SUM(FO31:FO34)</f>
        <v>-627</v>
      </c>
      <c r="FP36" s="371">
        <f>+FP31+FP33</f>
        <v>5073</v>
      </c>
      <c r="FQ36" s="33"/>
      <c r="FR36" s="369">
        <f>SUM(FR31:FR34)</f>
        <v>10687</v>
      </c>
      <c r="FS36" s="370">
        <f>SUM(FS31:FS34)</f>
        <v>6945</v>
      </c>
      <c r="FT36" s="370">
        <f>SUM(FT31:FT34)</f>
        <v>0</v>
      </c>
      <c r="FU36" s="370">
        <f>SUM(FU31:FU34)</f>
        <v>0</v>
      </c>
      <c r="FV36" s="370">
        <f>SUM(FV31:FV34)</f>
        <v>-3197.6326530612246</v>
      </c>
      <c r="FW36" s="371">
        <f>+FW31+FW33</f>
        <v>14434.367346938776</v>
      </c>
      <c r="FX36" s="33"/>
      <c r="FY36" s="369">
        <f>SUM(FY31:FY34)</f>
        <v>8397</v>
      </c>
      <c r="FZ36" s="370">
        <f>SUM(FZ31:FZ34)</f>
        <v>5609</v>
      </c>
      <c r="GA36" s="370">
        <f>SUM(GA31:GA34)</f>
        <v>0</v>
      </c>
      <c r="GB36" s="370">
        <f>SUM(GB31:GB34)</f>
        <v>0</v>
      </c>
      <c r="GC36" s="370">
        <f>SUM(GC31:GC34)</f>
        <v>-2170.2653061224487</v>
      </c>
      <c r="GD36" s="371">
        <f>+GD31+GD33</f>
        <v>11835.734693877552</v>
      </c>
      <c r="GE36" s="33"/>
      <c r="GF36" s="369">
        <f>SUM(GF31:GF34)</f>
        <v>4926</v>
      </c>
      <c r="GG36" s="370">
        <f>SUM(GG31:GG34)</f>
        <v>4892</v>
      </c>
      <c r="GH36" s="370">
        <f>SUM(GH31:GH34)</f>
        <v>0</v>
      </c>
      <c r="GI36" s="370">
        <f>SUM(GI31:GI34)</f>
        <v>0</v>
      </c>
      <c r="GJ36" s="370">
        <f>SUM(GJ31:GJ34)</f>
        <v>-2009.0816326530612</v>
      </c>
      <c r="GK36" s="371">
        <f>+GK31+GK33</f>
        <v>7808.9183673469388</v>
      </c>
      <c r="GL36" s="33"/>
      <c r="GM36" s="369">
        <f>SUM(GM31:GM34)</f>
        <v>2137</v>
      </c>
      <c r="GN36" s="370">
        <f>SUM(GN31:GN34)</f>
        <v>2259</v>
      </c>
      <c r="GO36" s="370">
        <f>SUM(GO31:GO34)</f>
        <v>0</v>
      </c>
      <c r="GP36" s="370">
        <f>SUM(GP31:GP34)</f>
        <v>0</v>
      </c>
      <c r="GQ36" s="370">
        <f>SUM(GQ31:GQ34)</f>
        <v>-1021.4489795918366</v>
      </c>
      <c r="GR36" s="371">
        <f>+GR31+GR33</f>
        <v>3374.5510204081634</v>
      </c>
      <c r="GS36" s="33"/>
      <c r="GT36" s="369">
        <f>SUM(GT31:GT34)</f>
        <v>33856</v>
      </c>
      <c r="GU36" s="370">
        <f>SUM(GU31:GU34)</f>
        <v>6209</v>
      </c>
      <c r="GV36" s="370">
        <f>SUM(GV31:GV34)</f>
        <v>0</v>
      </c>
      <c r="GW36" s="370">
        <f>SUM(GW31:GW34)</f>
        <v>0</v>
      </c>
      <c r="GX36" s="370">
        <f>SUM(GX31:GX34)</f>
        <v>-3477.1428571428569</v>
      </c>
      <c r="GY36" s="371">
        <f>+GY31+GY33</f>
        <v>36587.857142857145</v>
      </c>
      <c r="GZ36" s="33"/>
      <c r="HA36" s="369">
        <f>SUM(HA31:HA34)</f>
        <v>31878</v>
      </c>
      <c r="HB36" s="370">
        <f>SUM(HB31:HB34)</f>
        <v>4761</v>
      </c>
      <c r="HC36" s="370">
        <f>SUM(HC31:HC34)</f>
        <v>0</v>
      </c>
      <c r="HD36" s="370">
        <f>SUM(HD31:HD34)</f>
        <v>0</v>
      </c>
      <c r="HE36" s="370">
        <f>SUM(HE31:HE34)</f>
        <v>-2496.9183673469388</v>
      </c>
      <c r="HF36" s="371">
        <f>+HF31+HF33</f>
        <v>34142.081632653062</v>
      </c>
      <c r="HG36" s="33"/>
      <c r="HH36" s="369">
        <f>SUM(HH31:HH34)</f>
        <v>5208</v>
      </c>
      <c r="HI36" s="370">
        <f>SUM(HI31:HI34)</f>
        <v>3670</v>
      </c>
      <c r="HJ36" s="370">
        <f>SUM(HJ31:HJ34)</f>
        <v>0</v>
      </c>
      <c r="HK36" s="370">
        <f>SUM(HK31:HK34)</f>
        <v>0</v>
      </c>
      <c r="HL36" s="370">
        <f>SUM(HL31:HL34)</f>
        <v>-1828.5510204081631</v>
      </c>
      <c r="HM36" s="371">
        <f>+HM31+HM33</f>
        <v>7049.4489795918371</v>
      </c>
      <c r="HN36" s="33"/>
      <c r="HO36" s="369">
        <f>SUM(HO31:HO34)</f>
        <v>1835</v>
      </c>
      <c r="HP36" s="370">
        <f>SUM(HP31:HP34)</f>
        <v>1799</v>
      </c>
      <c r="HQ36" s="370">
        <f>SUM(HQ31:HQ34)</f>
        <v>0</v>
      </c>
      <c r="HR36" s="370">
        <f>SUM(HR31:HR34)</f>
        <v>0</v>
      </c>
      <c r="HS36" s="370">
        <f>SUM(HS31:HS34)</f>
        <v>-855.14285714285711</v>
      </c>
      <c r="HT36" s="371">
        <f>+HT31+HT33</f>
        <v>2778.8571428571431</v>
      </c>
      <c r="HU36" s="33"/>
      <c r="HV36" s="370">
        <f>SUM(HV31:HV34)</f>
        <v>-8881</v>
      </c>
      <c r="HW36" s="370">
        <f>SUM(HW31:HW34)</f>
        <v>2410</v>
      </c>
      <c r="HX36" s="370">
        <f>SUM(HX31:HX34)</f>
        <v>-3548</v>
      </c>
      <c r="HY36" s="370">
        <f>SUM(HY31:HY34)</f>
        <v>31</v>
      </c>
      <c r="HZ36" s="370">
        <f>SUM(HZ31:HZ34)</f>
        <v>2334.591836734694</v>
      </c>
      <c r="IA36" s="370">
        <f>+IA31+IA33</f>
        <v>-7653.408163265306</v>
      </c>
      <c r="IB36" s="33"/>
      <c r="IC36" s="370">
        <f>SUM(IC31:IC34)</f>
        <v>-8179</v>
      </c>
      <c r="ID36" s="370">
        <f>SUM(ID31:ID34)</f>
        <v>1941</v>
      </c>
      <c r="IE36" s="370">
        <f>SUM(IE31:IE34)</f>
        <v>-2154</v>
      </c>
      <c r="IF36" s="370">
        <f>SUM(IF31:IF34)</f>
        <v>31</v>
      </c>
      <c r="IG36" s="370">
        <f>SUM(IG31:IG34)</f>
        <v>-683.69387755102036</v>
      </c>
      <c r="IH36" s="370">
        <f>+IH31+IH33</f>
        <v>-9044.6938775510207</v>
      </c>
      <c r="II36" s="127"/>
      <c r="IJ36" s="370">
        <v>6446</v>
      </c>
      <c r="IK36" s="370">
        <v>2009</v>
      </c>
      <c r="IL36" s="370">
        <v>-728</v>
      </c>
      <c r="IM36" s="370">
        <v>31</v>
      </c>
      <c r="IN36" s="370">
        <v>-3968</v>
      </c>
      <c r="IO36" s="370">
        <v>3790</v>
      </c>
      <c r="IP36" s="127"/>
      <c r="IQ36" s="370">
        <f>SUM(IQ31:IQ34)</f>
        <v>1372</v>
      </c>
      <c r="IR36" s="370">
        <f>SUM(IR31:IR34)</f>
        <v>1080</v>
      </c>
      <c r="IS36" s="370">
        <f>SUM(IS31:IS34)</f>
        <v>-196</v>
      </c>
      <c r="IT36" s="370">
        <f>SUM(IT31:IT34)</f>
        <v>54</v>
      </c>
      <c r="IU36" s="370">
        <f>SUM(IU31:IU34)</f>
        <v>-584.9795918367347</v>
      </c>
      <c r="IV36" s="370">
        <f>+IV31+IV33</f>
        <v>1725</v>
      </c>
    </row>
    <row r="37" spans="1:256">
      <c r="A37" s="106"/>
      <c r="B37" s="106"/>
      <c r="C37" s="106"/>
      <c r="D37" s="106"/>
      <c r="E37" s="30"/>
      <c r="F37" s="33"/>
      <c r="G37" s="33"/>
      <c r="H37" s="33"/>
      <c r="I37" s="33"/>
      <c r="J37" s="33"/>
      <c r="K37" s="33"/>
      <c r="L37" s="33"/>
      <c r="M37" s="570"/>
      <c r="N37" s="570"/>
      <c r="O37" s="570"/>
      <c r="P37" s="570"/>
      <c r="Q37" s="570"/>
      <c r="R37" s="570"/>
      <c r="S37" s="366"/>
      <c r="T37" s="33"/>
      <c r="U37" s="33"/>
      <c r="V37" s="33"/>
      <c r="W37" s="33"/>
      <c r="X37" s="33"/>
      <c r="Y37" s="33"/>
      <c r="Z37" s="33"/>
      <c r="AA37" s="570"/>
      <c r="AB37" s="570"/>
      <c r="AC37" s="570"/>
      <c r="AD37" s="570"/>
      <c r="AE37" s="570"/>
      <c r="AF37" s="570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>
        <v>3125</v>
      </c>
      <c r="GU37" s="33"/>
      <c r="GV37" s="33"/>
      <c r="GW37" s="33"/>
      <c r="GX37" s="33"/>
      <c r="GY37" s="33"/>
      <c r="GZ37" s="33"/>
      <c r="HA37" s="33">
        <v>3125</v>
      </c>
      <c r="HB37" s="33"/>
      <c r="HC37" s="33"/>
      <c r="HD37" s="33"/>
      <c r="HE37" s="33"/>
      <c r="HF37" s="33"/>
      <c r="HG37" s="33"/>
      <c r="HH37" s="33">
        <v>3125</v>
      </c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>
        <v>3125</v>
      </c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127"/>
      <c r="IJ37" s="33"/>
      <c r="IK37" s="33"/>
      <c r="IL37" s="33"/>
      <c r="IM37" s="33"/>
      <c r="IN37" s="33"/>
      <c r="IO37" s="33"/>
      <c r="IP37" s="127"/>
      <c r="IQ37" s="33">
        <v>3125</v>
      </c>
      <c r="IR37" s="33"/>
      <c r="IS37" s="33"/>
      <c r="IT37" s="33"/>
      <c r="IU37" s="33"/>
      <c r="IV37" s="33"/>
    </row>
    <row r="38" spans="1:256">
      <c r="A38" s="30"/>
      <c r="B38" s="30"/>
      <c r="C38" s="30"/>
      <c r="D38" s="30"/>
      <c r="E38" s="30"/>
      <c r="F38" s="33"/>
      <c r="G38" s="33"/>
      <c r="H38" s="33"/>
      <c r="I38" s="33"/>
      <c r="J38" s="33"/>
      <c r="K38" s="33"/>
      <c r="L38" s="33"/>
      <c r="M38" s="570"/>
      <c r="N38" s="570"/>
      <c r="O38" s="570"/>
      <c r="P38" s="570"/>
      <c r="Q38" s="570"/>
      <c r="R38" s="570"/>
      <c r="S38" s="366"/>
      <c r="T38" s="33"/>
      <c r="U38" s="33"/>
      <c r="V38" s="33"/>
      <c r="W38" s="33"/>
      <c r="X38" s="33"/>
      <c r="Y38" s="33"/>
      <c r="Z38" s="33"/>
      <c r="AA38" s="570"/>
      <c r="AB38" s="570"/>
      <c r="AC38" s="570"/>
      <c r="AD38" s="570"/>
      <c r="AE38" s="570"/>
      <c r="AF38" s="570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>
        <f>12250-1563</f>
        <v>10687</v>
      </c>
      <c r="FS38" s="33"/>
      <c r="FT38" s="33"/>
      <c r="FU38" s="33"/>
      <c r="FV38" s="33"/>
      <c r="FW38" s="33"/>
      <c r="FX38" s="33"/>
      <c r="FY38" s="33">
        <f>9960-1563</f>
        <v>8397</v>
      </c>
      <c r="FZ38" s="33"/>
      <c r="GA38" s="33"/>
      <c r="GB38" s="33"/>
      <c r="GC38" s="33"/>
      <c r="GD38" s="33"/>
      <c r="GE38" s="33"/>
      <c r="GF38" s="33">
        <f>6489-1563</f>
        <v>4926</v>
      </c>
      <c r="GG38" s="33"/>
      <c r="GH38" s="33"/>
      <c r="GI38" s="33"/>
      <c r="GJ38" s="33"/>
      <c r="GK38" s="33"/>
      <c r="GL38" s="33"/>
      <c r="GM38" s="33">
        <f>+GM36+GM37</f>
        <v>2137</v>
      </c>
      <c r="GN38" s="33"/>
      <c r="GO38" s="33"/>
      <c r="GP38" s="33"/>
      <c r="GQ38" s="33"/>
      <c r="GR38" s="33"/>
      <c r="GS38" s="33"/>
      <c r="GT38" s="33">
        <f>+GT36+GT37</f>
        <v>36981</v>
      </c>
      <c r="GU38" s="33"/>
      <c r="GV38" s="33"/>
      <c r="GW38" s="33"/>
      <c r="GX38" s="33"/>
      <c r="GY38" s="33"/>
      <c r="GZ38" s="33"/>
      <c r="HA38" s="33">
        <f>+HA36+HA37</f>
        <v>35003</v>
      </c>
      <c r="HB38" s="33"/>
      <c r="HC38" s="33"/>
      <c r="HD38" s="33"/>
      <c r="HE38" s="33"/>
      <c r="HF38" s="33"/>
      <c r="HG38" s="33"/>
      <c r="HH38" s="33">
        <f>+HH36+HH37</f>
        <v>8333</v>
      </c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127">
        <f>+HV36+HV37</f>
        <v>-5756</v>
      </c>
      <c r="HW38" s="33"/>
      <c r="HX38" s="33"/>
      <c r="HY38" s="33"/>
      <c r="HZ38" s="33"/>
      <c r="IA38" s="33"/>
      <c r="IB38" s="33"/>
      <c r="IC38" s="127"/>
      <c r="ID38" s="127"/>
      <c r="IE38" s="127"/>
      <c r="IF38" s="127"/>
      <c r="IG38" s="33"/>
      <c r="IH38" s="33"/>
      <c r="II38" s="127"/>
      <c r="IJ38" s="127"/>
      <c r="IK38" s="127"/>
      <c r="IL38" s="127"/>
      <c r="IM38" s="127"/>
      <c r="IN38" s="33"/>
      <c r="IO38" s="33"/>
      <c r="IP38" s="127"/>
      <c r="IQ38" s="127">
        <f>+IQ36+IQ37</f>
        <v>4497</v>
      </c>
      <c r="IR38" s="127"/>
      <c r="IS38" s="127"/>
      <c r="IT38" s="127"/>
      <c r="IU38" s="127"/>
      <c r="IV38" s="127"/>
    </row>
    <row r="39" spans="1:256">
      <c r="A39" s="30"/>
      <c r="B39" s="30"/>
      <c r="C39" s="30"/>
      <c r="D39" s="30"/>
      <c r="E39" s="30"/>
      <c r="F39" s="33"/>
      <c r="G39" s="30"/>
      <c r="H39" s="30"/>
      <c r="I39" s="30"/>
      <c r="J39" s="30"/>
      <c r="K39" s="30"/>
      <c r="L39" s="30"/>
      <c r="M39" s="570"/>
      <c r="N39" s="445"/>
      <c r="O39" s="445"/>
      <c r="P39" s="445"/>
      <c r="Q39" s="445"/>
      <c r="R39" s="445"/>
      <c r="S39" s="38"/>
      <c r="T39" s="30"/>
      <c r="U39" s="30"/>
      <c r="V39" s="30"/>
      <c r="W39" s="30"/>
      <c r="X39" s="30"/>
      <c r="Y39" s="30"/>
      <c r="Z39" s="30"/>
      <c r="AA39" s="570"/>
      <c r="AB39" s="445"/>
      <c r="AC39" s="445"/>
      <c r="AD39" s="445"/>
      <c r="AE39" s="445"/>
      <c r="AF39" s="445"/>
      <c r="AG39" s="30"/>
      <c r="AH39" s="33"/>
      <c r="AI39" s="30"/>
      <c r="AJ39" s="30"/>
      <c r="AK39" s="30"/>
      <c r="AL39" s="30"/>
      <c r="AM39" s="30"/>
      <c r="AN39" s="30"/>
      <c r="AO39" s="33"/>
      <c r="AP39" s="30"/>
      <c r="AQ39" s="30"/>
      <c r="AR39" s="30"/>
      <c r="AS39" s="30"/>
      <c r="AT39" s="30"/>
      <c r="AU39" s="30"/>
      <c r="AV39" s="33"/>
      <c r="AW39" s="30"/>
      <c r="AX39" s="30"/>
      <c r="AY39" s="30"/>
      <c r="AZ39" s="30"/>
      <c r="BA39" s="30"/>
      <c r="BB39" s="30"/>
      <c r="BC39" s="33"/>
      <c r="BD39" s="30"/>
      <c r="BE39" s="30"/>
      <c r="BF39" s="30"/>
      <c r="BG39" s="30"/>
      <c r="BH39" s="30"/>
      <c r="BI39" s="30"/>
      <c r="BJ39" s="33"/>
      <c r="BK39" s="30"/>
      <c r="BL39" s="30"/>
      <c r="BM39" s="30"/>
      <c r="BN39" s="30"/>
      <c r="BO39" s="30"/>
      <c r="BP39" s="30"/>
      <c r="BQ39" s="33"/>
      <c r="BR39" s="30"/>
      <c r="BS39" s="30"/>
      <c r="BT39" s="30"/>
      <c r="BU39" s="30"/>
      <c r="BV39" s="30"/>
      <c r="BW39" s="30"/>
      <c r="BX39" s="33"/>
      <c r="BY39" s="30"/>
      <c r="BZ39" s="30"/>
      <c r="CA39" s="30"/>
      <c r="CB39" s="30"/>
      <c r="CC39" s="30"/>
      <c r="CD39" s="30"/>
      <c r="CE39" s="33"/>
      <c r="CF39" s="30"/>
      <c r="CG39" s="30"/>
      <c r="CH39" s="30"/>
      <c r="CI39" s="30"/>
      <c r="CJ39" s="30"/>
      <c r="CK39" s="30"/>
      <c r="CL39" s="33"/>
      <c r="CM39" s="30"/>
      <c r="CN39" s="30"/>
      <c r="CO39" s="30"/>
      <c r="CP39" s="30"/>
      <c r="CQ39" s="30"/>
      <c r="CR39" s="30"/>
      <c r="CS39" s="33"/>
      <c r="CT39" s="30"/>
      <c r="CU39" s="30"/>
      <c r="CV39" s="30"/>
      <c r="CW39" s="30"/>
      <c r="CX39" s="30"/>
      <c r="CY39" s="30"/>
      <c r="CZ39" s="33"/>
      <c r="DA39" s="30"/>
      <c r="DB39" s="30"/>
      <c r="DC39" s="30"/>
      <c r="DD39" s="30"/>
      <c r="DE39" s="30"/>
      <c r="DF39" s="30"/>
      <c r="DG39" s="33"/>
      <c r="DH39" s="30"/>
      <c r="DI39" s="30"/>
      <c r="DJ39" s="30"/>
      <c r="DK39" s="30"/>
      <c r="DL39" s="30"/>
      <c r="DM39" s="30"/>
      <c r="DN39" s="33"/>
      <c r="DO39" s="30"/>
      <c r="DP39" s="30"/>
      <c r="DQ39" s="30"/>
      <c r="DR39" s="30"/>
      <c r="DS39" s="30"/>
      <c r="DT39" s="30"/>
      <c r="DU39" s="33"/>
      <c r="DV39" s="30"/>
      <c r="DW39" s="30"/>
      <c r="DX39" s="30"/>
      <c r="DY39" s="30"/>
      <c r="DZ39" s="30"/>
      <c r="EA39" s="30"/>
      <c r="EB39" s="33"/>
      <c r="EC39" s="30"/>
      <c r="ED39" s="30"/>
      <c r="EE39" s="30"/>
      <c r="EF39" s="30"/>
      <c r="EG39" s="30"/>
      <c r="EH39" s="30"/>
      <c r="EI39" s="33"/>
      <c r="EJ39" s="30"/>
      <c r="EK39" s="30"/>
      <c r="EL39" s="30"/>
      <c r="EM39" s="30"/>
      <c r="EN39" s="30"/>
      <c r="EO39" s="30"/>
      <c r="EP39" s="33"/>
      <c r="EQ39" s="30"/>
      <c r="ER39" s="30"/>
      <c r="ES39" s="30"/>
      <c r="ET39" s="30"/>
      <c r="EU39" s="30"/>
      <c r="EV39" s="30"/>
      <c r="EW39" s="33"/>
      <c r="EX39" s="30"/>
      <c r="EY39" s="30"/>
      <c r="EZ39" s="30"/>
      <c r="FA39" s="30"/>
      <c r="FB39" s="30"/>
      <c r="FC39" s="30"/>
      <c r="FD39" s="33"/>
      <c r="FE39" s="30"/>
      <c r="FF39" s="30"/>
      <c r="FG39" s="30"/>
      <c r="FH39" s="30"/>
      <c r="FI39" s="30"/>
      <c r="FJ39" s="30"/>
      <c r="FK39" s="33"/>
      <c r="FL39" s="30"/>
      <c r="FM39" s="30"/>
      <c r="FN39" s="30"/>
      <c r="FO39" s="30"/>
      <c r="FP39" s="30"/>
      <c r="FQ39" s="30"/>
      <c r="FR39" s="33"/>
      <c r="FS39" s="30"/>
      <c r="FT39" s="30"/>
      <c r="FU39" s="30"/>
      <c r="FV39" s="30"/>
      <c r="FW39" s="30"/>
      <c r="FX39" s="30"/>
      <c r="FY39" s="33"/>
      <c r="FZ39" s="30"/>
      <c r="GA39" s="30"/>
      <c r="GB39" s="30"/>
      <c r="GC39" s="30"/>
      <c r="GD39" s="30"/>
      <c r="GE39" s="30"/>
      <c r="GF39" s="33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3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J39" s="30">
        <v>6445798</v>
      </c>
      <c r="IK39" s="30">
        <v>2009745</v>
      </c>
      <c r="IL39" s="30">
        <v>-727157</v>
      </c>
      <c r="IM39" s="30">
        <v>30548</v>
      </c>
      <c r="IN39" s="30"/>
      <c r="IO39" s="30"/>
      <c r="IQ39" s="217"/>
    </row>
    <row r="40" spans="1:256">
      <c r="A40" s="30" t="s">
        <v>349</v>
      </c>
      <c r="B40" s="30"/>
      <c r="C40" s="30"/>
      <c r="D40" s="30"/>
      <c r="E40" s="198">
        <v>11</v>
      </c>
      <c r="F40" s="30"/>
      <c r="G40" s="30"/>
      <c r="H40" s="30"/>
      <c r="I40" s="30"/>
      <c r="J40" s="30"/>
      <c r="K40" s="30"/>
      <c r="L40" s="30"/>
      <c r="M40" s="445"/>
      <c r="N40" s="445"/>
      <c r="O40" s="445"/>
      <c r="P40" s="445"/>
      <c r="Q40" s="445"/>
      <c r="R40" s="445"/>
      <c r="S40" s="38"/>
      <c r="T40" s="30"/>
      <c r="U40" s="30"/>
      <c r="V40" s="30"/>
      <c r="W40" s="30"/>
      <c r="X40" s="30"/>
      <c r="Y40" s="30"/>
      <c r="Z40" s="30"/>
      <c r="AA40" s="445"/>
      <c r="AB40" s="445"/>
      <c r="AC40" s="445"/>
      <c r="AD40" s="445"/>
      <c r="AE40" s="445"/>
      <c r="AF40" s="445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</row>
    <row r="41" spans="1:256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445"/>
      <c r="N41" s="445"/>
      <c r="O41" s="445"/>
      <c r="P41" s="445"/>
      <c r="Q41" s="445"/>
      <c r="R41" s="445"/>
      <c r="S41" s="38"/>
      <c r="T41" s="30"/>
      <c r="U41" s="30"/>
      <c r="V41" s="30"/>
      <c r="W41" s="30"/>
      <c r="X41" s="30"/>
      <c r="Y41" s="30"/>
      <c r="Z41" s="30"/>
      <c r="AA41" s="445"/>
      <c r="AB41" s="445"/>
      <c r="AC41" s="445"/>
      <c r="AD41" s="445"/>
      <c r="AE41" s="445"/>
      <c r="AF41" s="445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</row>
    <row r="42" spans="1:256">
      <c r="A42" s="30" t="s">
        <v>350</v>
      </c>
      <c r="B42" s="30"/>
      <c r="C42" s="30"/>
      <c r="D42" s="30"/>
      <c r="E42" s="198">
        <v>11</v>
      </c>
      <c r="F42" s="30"/>
      <c r="G42" s="30"/>
      <c r="H42" s="30"/>
      <c r="I42" s="30"/>
      <c r="J42" s="30"/>
      <c r="K42" s="30"/>
      <c r="L42" s="30"/>
      <c r="M42" s="445"/>
      <c r="N42" s="445"/>
      <c r="O42" s="445"/>
      <c r="P42" s="445"/>
      <c r="Q42" s="445"/>
      <c r="R42" s="445"/>
      <c r="S42" s="38"/>
      <c r="T42" s="30"/>
      <c r="U42" s="30"/>
      <c r="V42" s="30"/>
      <c r="W42" s="30"/>
      <c r="X42" s="30"/>
      <c r="Y42" s="30"/>
      <c r="Z42" s="30"/>
      <c r="AA42" s="445"/>
      <c r="AB42" s="445"/>
      <c r="AC42" s="445"/>
      <c r="AD42" s="445"/>
      <c r="AE42" s="445"/>
      <c r="AF42" s="445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</row>
    <row r="43" spans="1:256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445"/>
      <c r="N43" s="445"/>
      <c r="O43" s="445"/>
      <c r="P43" s="445"/>
      <c r="Q43" s="445"/>
      <c r="R43" s="445"/>
      <c r="S43" s="38"/>
      <c r="T43" s="30"/>
      <c r="U43" s="30"/>
      <c r="V43" s="30"/>
      <c r="W43" s="30"/>
      <c r="X43" s="30"/>
      <c r="Y43" s="30"/>
      <c r="Z43" s="30"/>
      <c r="AA43" s="445"/>
      <c r="AB43" s="445"/>
      <c r="AC43" s="445"/>
      <c r="AD43" s="445"/>
      <c r="AE43" s="445"/>
      <c r="AF43" s="445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</row>
    <row r="44" spans="1:256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445"/>
      <c r="N44" s="445"/>
      <c r="O44" s="445"/>
      <c r="P44" s="445"/>
      <c r="Q44" s="445"/>
      <c r="R44" s="445"/>
      <c r="S44" s="38"/>
      <c r="T44" s="30"/>
      <c r="U44" s="30"/>
      <c r="V44" s="30"/>
      <c r="W44" s="30"/>
      <c r="X44" s="30"/>
      <c r="Y44" s="30"/>
      <c r="Z44" s="30"/>
      <c r="AA44" s="445"/>
      <c r="AB44" s="445"/>
      <c r="AC44" s="445"/>
      <c r="AD44" s="445"/>
      <c r="AE44" s="445"/>
      <c r="AF44" s="445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</row>
    <row r="45" spans="1:256">
      <c r="A45" s="30" t="s">
        <v>351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445"/>
      <c r="N45" s="445"/>
      <c r="O45" s="445"/>
      <c r="P45" s="445"/>
      <c r="Q45" s="445"/>
      <c r="R45" s="445"/>
      <c r="S45" s="38"/>
      <c r="T45" s="30"/>
      <c r="U45" s="30"/>
      <c r="V45" s="30"/>
      <c r="W45" s="30"/>
      <c r="X45" s="30"/>
      <c r="Y45" s="30"/>
      <c r="Z45" s="30"/>
      <c r="AA45" s="445"/>
      <c r="AB45" s="445"/>
      <c r="AC45" s="445"/>
      <c r="AD45" s="445"/>
      <c r="AE45" s="445"/>
      <c r="AF45" s="445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</row>
    <row r="46" spans="1:256">
      <c r="A46" s="445" t="s">
        <v>831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445"/>
      <c r="N46" s="445"/>
      <c r="O46" s="445"/>
      <c r="P46" s="445"/>
      <c r="Q46" s="445"/>
      <c r="R46" s="445"/>
      <c r="S46" s="38"/>
      <c r="T46" s="30"/>
      <c r="U46" s="30"/>
      <c r="V46" s="30"/>
      <c r="W46" s="30"/>
      <c r="X46" s="30"/>
      <c r="Y46" s="30"/>
      <c r="Z46" s="30"/>
      <c r="AA46" s="445"/>
      <c r="AB46" s="445"/>
      <c r="AC46" s="445"/>
      <c r="AD46" s="445"/>
      <c r="AE46" s="445"/>
      <c r="AF46" s="445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</row>
    <row r="47" spans="1:256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445"/>
      <c r="N47" s="445"/>
      <c r="O47" s="445"/>
      <c r="P47" s="445"/>
      <c r="Q47" s="445"/>
      <c r="R47" s="445"/>
      <c r="S47" s="38"/>
      <c r="T47" s="30"/>
      <c r="U47" s="30"/>
      <c r="V47" s="30"/>
      <c r="W47" s="30"/>
      <c r="X47" s="30"/>
      <c r="Y47" s="30"/>
      <c r="Z47" s="30"/>
      <c r="AA47" s="445"/>
      <c r="AB47" s="445"/>
      <c r="AC47" s="445"/>
      <c r="AD47" s="445"/>
      <c r="AE47" s="445"/>
      <c r="AF47" s="445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</row>
    <row r="48" spans="1:256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445"/>
      <c r="N48" s="445"/>
      <c r="O48" s="445"/>
      <c r="P48" s="445"/>
      <c r="Q48" s="445"/>
      <c r="R48" s="445"/>
      <c r="S48" s="38"/>
      <c r="T48" s="30"/>
      <c r="U48" s="30"/>
      <c r="V48" s="30"/>
      <c r="W48" s="30"/>
      <c r="X48" s="30"/>
      <c r="Y48" s="30"/>
      <c r="Z48" s="30"/>
      <c r="AA48" s="445"/>
      <c r="AB48" s="445"/>
      <c r="AC48" s="445"/>
      <c r="AD48" s="445"/>
      <c r="AE48" s="445"/>
      <c r="AF48" s="445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</row>
    <row r="49" spans="1:24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445"/>
      <c r="N49" s="445"/>
      <c r="O49" s="445"/>
      <c r="P49" s="445"/>
      <c r="Q49" s="445"/>
      <c r="R49" s="445"/>
      <c r="S49" s="38"/>
      <c r="T49" s="30"/>
      <c r="U49" s="30"/>
      <c r="V49" s="30"/>
      <c r="W49" s="30"/>
      <c r="X49" s="30"/>
      <c r="Y49" s="30"/>
      <c r="Z49" s="30"/>
      <c r="AA49" s="445"/>
      <c r="AB49" s="445"/>
      <c r="AC49" s="445"/>
      <c r="AD49" s="445"/>
      <c r="AE49" s="445"/>
      <c r="AF49" s="445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</row>
    <row r="50" spans="1:24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445"/>
      <c r="N50" s="445"/>
      <c r="O50" s="445"/>
      <c r="P50" s="445"/>
      <c r="Q50" s="445"/>
      <c r="R50" s="445"/>
      <c r="S50" s="38"/>
      <c r="T50" s="30"/>
      <c r="U50" s="30"/>
      <c r="V50" s="30"/>
      <c r="W50" s="30"/>
      <c r="X50" s="30"/>
      <c r="Y50" s="30"/>
      <c r="Z50" s="30"/>
      <c r="AA50" s="445"/>
      <c r="AB50" s="445"/>
      <c r="AC50" s="445"/>
      <c r="AD50" s="445"/>
      <c r="AE50" s="445"/>
      <c r="AF50" s="445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</row>
    <row r="51" spans="1:24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445"/>
      <c r="N51" s="445"/>
      <c r="O51" s="445"/>
      <c r="P51" s="445"/>
      <c r="Q51" s="445"/>
      <c r="R51" s="445"/>
      <c r="S51" s="38"/>
      <c r="T51" s="30"/>
      <c r="U51" s="30"/>
      <c r="V51" s="30"/>
      <c r="W51" s="30"/>
      <c r="X51" s="30"/>
      <c r="Y51" s="30"/>
      <c r="Z51" s="30"/>
      <c r="AA51" s="445"/>
      <c r="AB51" s="445"/>
      <c r="AC51" s="445"/>
      <c r="AD51" s="445"/>
      <c r="AE51" s="445"/>
      <c r="AF51" s="445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</row>
    <row r="52" spans="1:24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445"/>
      <c r="N52" s="445"/>
      <c r="O52" s="445"/>
      <c r="P52" s="445"/>
      <c r="Q52" s="445"/>
      <c r="R52" s="445"/>
      <c r="S52" s="38"/>
      <c r="T52" s="30"/>
      <c r="U52" s="30"/>
      <c r="V52" s="30"/>
      <c r="W52" s="30"/>
      <c r="X52" s="30"/>
      <c r="Y52" s="30"/>
      <c r="Z52" s="30"/>
      <c r="AA52" s="445"/>
      <c r="AB52" s="445"/>
      <c r="AC52" s="445"/>
      <c r="AD52" s="445"/>
      <c r="AE52" s="445"/>
      <c r="AF52" s="445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</row>
    <row r="53" spans="1:24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445"/>
      <c r="N53" s="445"/>
      <c r="O53" s="445"/>
      <c r="P53" s="445"/>
      <c r="Q53" s="445"/>
      <c r="R53" s="445"/>
      <c r="S53" s="38"/>
      <c r="T53" s="30"/>
      <c r="U53" s="30"/>
      <c r="V53" s="30"/>
      <c r="W53" s="30"/>
      <c r="X53" s="30"/>
      <c r="Y53" s="30"/>
      <c r="Z53" s="30"/>
      <c r="AA53" s="445"/>
      <c r="AB53" s="445"/>
      <c r="AC53" s="445"/>
      <c r="AD53" s="445"/>
      <c r="AE53" s="445"/>
      <c r="AF53" s="445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</row>
    <row r="54" spans="1:24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445"/>
      <c r="N54" s="445"/>
      <c r="O54" s="445"/>
      <c r="P54" s="445"/>
      <c r="Q54" s="445"/>
      <c r="R54" s="445"/>
      <c r="S54" s="38"/>
      <c r="T54" s="30"/>
      <c r="U54" s="30"/>
      <c r="V54" s="30"/>
      <c r="W54" s="30"/>
      <c r="X54" s="30"/>
      <c r="Y54" s="30"/>
      <c r="Z54" s="30"/>
      <c r="AA54" s="445"/>
      <c r="AB54" s="445"/>
      <c r="AC54" s="445"/>
      <c r="AD54" s="445"/>
      <c r="AE54" s="445"/>
      <c r="AF54" s="445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</row>
    <row r="55" spans="1:24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445"/>
      <c r="N55" s="445"/>
      <c r="O55" s="445"/>
      <c r="P55" s="445"/>
      <c r="Q55" s="445"/>
      <c r="R55" s="445"/>
      <c r="S55" s="38"/>
      <c r="T55" s="30"/>
      <c r="U55" s="30"/>
      <c r="V55" s="30"/>
      <c r="W55" s="30"/>
      <c r="X55" s="30"/>
      <c r="Y55" s="30"/>
      <c r="Z55" s="30"/>
      <c r="AA55" s="445"/>
      <c r="AB55" s="445"/>
      <c r="AC55" s="445"/>
      <c r="AD55" s="445"/>
      <c r="AE55" s="445"/>
      <c r="AF55" s="445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</row>
    <row r="56" spans="1:24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445"/>
      <c r="N56" s="445"/>
      <c r="O56" s="445"/>
      <c r="P56" s="445"/>
      <c r="Q56" s="445"/>
      <c r="R56" s="445"/>
      <c r="S56" s="38"/>
      <c r="T56" s="30"/>
      <c r="U56" s="30"/>
      <c r="V56" s="30"/>
      <c r="W56" s="30"/>
      <c r="X56" s="30"/>
      <c r="Y56" s="30"/>
      <c r="Z56" s="30"/>
      <c r="AA56" s="445"/>
      <c r="AB56" s="445"/>
      <c r="AC56" s="445"/>
      <c r="AD56" s="445"/>
      <c r="AE56" s="445"/>
      <c r="AF56" s="445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</row>
    <row r="57" spans="1:24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445"/>
      <c r="N57" s="445"/>
      <c r="O57" s="445"/>
      <c r="P57" s="445"/>
      <c r="Q57" s="445"/>
      <c r="R57" s="445"/>
      <c r="S57" s="38"/>
      <c r="T57" s="30"/>
      <c r="U57" s="30"/>
      <c r="V57" s="30"/>
      <c r="W57" s="30"/>
      <c r="X57" s="30"/>
      <c r="Y57" s="30"/>
      <c r="Z57" s="30"/>
      <c r="AA57" s="445"/>
      <c r="AB57" s="445"/>
      <c r="AC57" s="445"/>
      <c r="AD57" s="445"/>
      <c r="AE57" s="445"/>
      <c r="AF57" s="445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</row>
    <row r="58" spans="1:24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445"/>
      <c r="N58" s="445"/>
      <c r="O58" s="445"/>
      <c r="P58" s="445"/>
      <c r="Q58" s="445"/>
      <c r="R58" s="445"/>
      <c r="S58" s="38"/>
      <c r="T58" s="30"/>
      <c r="U58" s="30"/>
      <c r="V58" s="30"/>
      <c r="W58" s="30"/>
      <c r="X58" s="30"/>
      <c r="Y58" s="30"/>
      <c r="Z58" s="30"/>
      <c r="AA58" s="445"/>
      <c r="AB58" s="445"/>
      <c r="AC58" s="445"/>
      <c r="AD58" s="445"/>
      <c r="AE58" s="445"/>
      <c r="AF58" s="445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</row>
    <row r="59" spans="1:24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445"/>
      <c r="N59" s="445"/>
      <c r="O59" s="445"/>
      <c r="P59" s="445"/>
      <c r="Q59" s="445"/>
      <c r="R59" s="445"/>
      <c r="S59" s="38"/>
      <c r="T59" s="30"/>
      <c r="U59" s="30"/>
      <c r="V59" s="30"/>
      <c r="W59" s="30"/>
      <c r="X59" s="30"/>
      <c r="Y59" s="30"/>
      <c r="Z59" s="30"/>
      <c r="AA59" s="445"/>
      <c r="AB59" s="445"/>
      <c r="AC59" s="445"/>
      <c r="AD59" s="445"/>
      <c r="AE59" s="445"/>
      <c r="AF59" s="445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</row>
    <row r="60" spans="1:24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445"/>
      <c r="N60" s="445"/>
      <c r="O60" s="445"/>
      <c r="P60" s="445"/>
      <c r="Q60" s="445"/>
      <c r="R60" s="445"/>
      <c r="S60" s="38"/>
      <c r="T60" s="30"/>
      <c r="U60" s="30"/>
      <c r="V60" s="30"/>
      <c r="W60" s="30"/>
      <c r="X60" s="30"/>
      <c r="Y60" s="30"/>
      <c r="Z60" s="30"/>
      <c r="AA60" s="445"/>
      <c r="AB60" s="445"/>
      <c r="AC60" s="445"/>
      <c r="AD60" s="445"/>
      <c r="AE60" s="445"/>
      <c r="AF60" s="445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</row>
    <row r="61" spans="1:24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445"/>
      <c r="N61" s="445"/>
      <c r="O61" s="445"/>
      <c r="P61" s="445"/>
      <c r="Q61" s="445"/>
      <c r="R61" s="445"/>
      <c r="S61" s="38"/>
      <c r="T61" s="30"/>
      <c r="U61" s="30"/>
      <c r="V61" s="30"/>
      <c r="W61" s="30"/>
      <c r="X61" s="30"/>
      <c r="Y61" s="30"/>
      <c r="Z61" s="30"/>
      <c r="AA61" s="445"/>
      <c r="AB61" s="445"/>
      <c r="AC61" s="445"/>
      <c r="AD61" s="445"/>
      <c r="AE61" s="445"/>
      <c r="AF61" s="445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</row>
    <row r="62" spans="1:24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445"/>
      <c r="N62" s="445"/>
      <c r="O62" s="445"/>
      <c r="P62" s="445"/>
      <c r="Q62" s="445"/>
      <c r="R62" s="445"/>
      <c r="S62" s="38"/>
      <c r="T62" s="30"/>
      <c r="U62" s="30"/>
      <c r="V62" s="30"/>
      <c r="W62" s="30"/>
      <c r="X62" s="30"/>
      <c r="Y62" s="30"/>
      <c r="Z62" s="30"/>
      <c r="AA62" s="445"/>
      <c r="AB62" s="445"/>
      <c r="AC62" s="445"/>
      <c r="AD62" s="445"/>
      <c r="AE62" s="445"/>
      <c r="AF62" s="445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</row>
    <row r="63" spans="1:24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445"/>
      <c r="N63" s="445"/>
      <c r="O63" s="445"/>
      <c r="P63" s="445"/>
      <c r="Q63" s="445"/>
      <c r="R63" s="445"/>
      <c r="S63" s="38"/>
      <c r="T63" s="30"/>
      <c r="U63" s="30"/>
      <c r="V63" s="30"/>
      <c r="W63" s="30"/>
      <c r="X63" s="30"/>
      <c r="Y63" s="30"/>
      <c r="Z63" s="30"/>
      <c r="AA63" s="445"/>
      <c r="AB63" s="445"/>
      <c r="AC63" s="445"/>
      <c r="AD63" s="445"/>
      <c r="AE63" s="445"/>
      <c r="AF63" s="445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</row>
  </sheetData>
  <phoneticPr fontId="0" type="noConversion"/>
  <printOptions horizontalCentered="1"/>
  <pageMargins left="0.25" right="0.25" top="0.5" bottom="0.5" header="0.45" footer="0.5"/>
  <pageSetup paperSize="9" scale="10" orientation="landscape" horizontalDpi="1200" verticalDpi="1200" r:id="rId1"/>
  <headerFooter alignWithMargins="0">
    <oddFooter>&amp;L&amp;D&amp;F&amp;A&amp;T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 enableFormatConditionsCalculation="0">
    <tabColor rgb="FF0070C0"/>
  </sheetPr>
  <dimension ref="A3:AU17"/>
  <sheetViews>
    <sheetView topLeftCell="AD1" workbookViewId="0">
      <selection activeCell="AV3" sqref="AV3"/>
    </sheetView>
  </sheetViews>
  <sheetFormatPr defaultRowHeight="12.75"/>
  <cols>
    <col min="6" max="6" width="10.140625" bestFit="1" customWidth="1"/>
    <col min="7" max="7" width="3.7109375" customWidth="1"/>
    <col min="13" max="13" width="3.7109375" customWidth="1"/>
    <col min="19" max="19" width="3.7109375" customWidth="1"/>
    <col min="25" max="25" width="3.7109375" customWidth="1"/>
  </cols>
  <sheetData>
    <row r="3" spans="1:47">
      <c r="A3" s="116"/>
      <c r="B3" s="116"/>
      <c r="C3" s="116"/>
      <c r="D3" s="116"/>
      <c r="E3" s="116"/>
      <c r="F3" s="116"/>
      <c r="G3" s="116"/>
      <c r="H3" s="116"/>
      <c r="I3" s="116"/>
    </row>
    <row r="4" spans="1:47">
      <c r="A4" s="201" t="s">
        <v>521</v>
      </c>
      <c r="B4" s="201"/>
      <c r="C4" s="201"/>
      <c r="D4" s="201"/>
      <c r="E4" s="201"/>
      <c r="F4" s="201"/>
      <c r="G4" s="116"/>
      <c r="H4" s="116"/>
      <c r="I4" s="116"/>
    </row>
    <row r="5" spans="1:47">
      <c r="A5" s="201"/>
      <c r="B5" s="208" t="s">
        <v>336</v>
      </c>
      <c r="C5" s="208" t="s">
        <v>335</v>
      </c>
      <c r="D5" s="208" t="s">
        <v>334</v>
      </c>
      <c r="E5" s="208" t="s">
        <v>333</v>
      </c>
      <c r="F5" s="201" t="s">
        <v>480</v>
      </c>
      <c r="G5" s="116"/>
      <c r="H5" s="351" t="s">
        <v>476</v>
      </c>
      <c r="I5" s="351" t="s">
        <v>477</v>
      </c>
      <c r="J5" s="351" t="s">
        <v>478</v>
      </c>
      <c r="K5" s="351" t="s">
        <v>479</v>
      </c>
      <c r="L5" s="201" t="s">
        <v>566</v>
      </c>
      <c r="N5" s="351" t="s">
        <v>610</v>
      </c>
      <c r="O5" s="351" t="s">
        <v>611</v>
      </c>
      <c r="P5" s="351" t="s">
        <v>612</v>
      </c>
      <c r="Q5" s="351" t="s">
        <v>613</v>
      </c>
      <c r="R5" s="201" t="s">
        <v>614</v>
      </c>
      <c r="T5" s="351" t="s">
        <v>648</v>
      </c>
      <c r="U5" s="351" t="s">
        <v>649</v>
      </c>
      <c r="V5" s="351" t="s">
        <v>650</v>
      </c>
      <c r="W5" s="351" t="s">
        <v>651</v>
      </c>
      <c r="X5" s="201" t="s">
        <v>652</v>
      </c>
      <c r="Z5" s="351" t="s">
        <v>694</v>
      </c>
      <c r="AA5" s="351" t="s">
        <v>695</v>
      </c>
      <c r="AB5" s="351" t="s">
        <v>696</v>
      </c>
      <c r="AC5" s="351" t="s">
        <v>697</v>
      </c>
      <c r="AD5" s="201" t="s">
        <v>699</v>
      </c>
      <c r="AF5" s="351" t="s">
        <v>727</v>
      </c>
      <c r="AG5" s="351"/>
      <c r="AH5" s="351" t="s">
        <v>734</v>
      </c>
      <c r="AI5" s="351" t="s">
        <v>735</v>
      </c>
      <c r="AJ5" s="351" t="s">
        <v>736</v>
      </c>
      <c r="AK5" s="351" t="s">
        <v>737</v>
      </c>
      <c r="AL5" s="201" t="s">
        <v>738</v>
      </c>
      <c r="AN5" s="351" t="s">
        <v>793</v>
      </c>
      <c r="AO5" s="351" t="s">
        <v>794</v>
      </c>
      <c r="AP5" s="351" t="s">
        <v>795</v>
      </c>
      <c r="AQ5" s="351" t="s">
        <v>796</v>
      </c>
      <c r="AR5" s="201" t="s">
        <v>797</v>
      </c>
      <c r="AT5" s="351" t="s">
        <v>826</v>
      </c>
      <c r="AU5" s="351" t="s">
        <v>833</v>
      </c>
    </row>
    <row r="6" spans="1:47">
      <c r="A6" s="116"/>
      <c r="B6" s="116"/>
      <c r="C6" s="116"/>
      <c r="D6" s="116"/>
      <c r="E6" s="116"/>
      <c r="F6" s="116"/>
      <c r="G6" s="116"/>
      <c r="H6" s="201"/>
      <c r="I6" s="201"/>
      <c r="J6" s="201"/>
      <c r="K6" s="201"/>
      <c r="L6" s="116"/>
      <c r="N6" s="201"/>
      <c r="O6" s="201"/>
      <c r="P6" s="201"/>
      <c r="Q6" s="201"/>
      <c r="R6" s="116"/>
      <c r="T6" s="201"/>
      <c r="U6" s="201"/>
      <c r="V6" s="201"/>
      <c r="W6" s="201"/>
      <c r="X6" s="116"/>
      <c r="Z6" s="201"/>
      <c r="AA6" s="201"/>
      <c r="AB6" s="201"/>
      <c r="AC6" s="201"/>
      <c r="AD6" s="116"/>
      <c r="AF6" s="201"/>
      <c r="AG6" s="201"/>
      <c r="AH6" s="201"/>
      <c r="AI6" s="201"/>
      <c r="AJ6" s="201"/>
      <c r="AK6" s="201"/>
      <c r="AL6" s="116"/>
      <c r="AN6" s="201"/>
      <c r="AO6" s="201"/>
      <c r="AP6" s="201"/>
      <c r="AQ6" s="201"/>
      <c r="AR6" s="116"/>
      <c r="AT6" s="201"/>
      <c r="AU6" s="201"/>
    </row>
    <row r="7" spans="1:47">
      <c r="A7" s="38" t="s">
        <v>338</v>
      </c>
      <c r="B7" s="38">
        <v>230</v>
      </c>
      <c r="C7" s="38">
        <v>251</v>
      </c>
      <c r="D7" s="38">
        <v>165</v>
      </c>
      <c r="E7" s="38">
        <v>176</v>
      </c>
      <c r="F7" s="38">
        <f>SUM(B7:E7)</f>
        <v>822</v>
      </c>
      <c r="G7" s="116"/>
      <c r="H7" s="201">
        <v>309</v>
      </c>
      <c r="I7" s="201">
        <v>285</v>
      </c>
      <c r="J7" s="201">
        <v>261</v>
      </c>
      <c r="K7" s="201">
        <v>229</v>
      </c>
      <c r="L7" s="201">
        <f>SUM(H7:K7)</f>
        <v>1084</v>
      </c>
      <c r="N7" s="201">
        <f>101+105+104</f>
        <v>310</v>
      </c>
      <c r="O7" s="201">
        <f>134-10+118+116</f>
        <v>358</v>
      </c>
      <c r="P7" s="201">
        <f>90+36+91</f>
        <v>217</v>
      </c>
      <c r="Q7" s="201">
        <v>80</v>
      </c>
      <c r="R7" s="201">
        <f>SUM(N7:Q7)</f>
        <v>965</v>
      </c>
      <c r="T7" s="201">
        <v>124</v>
      </c>
      <c r="U7" s="201">
        <v>889</v>
      </c>
      <c r="V7" s="201">
        <v>439</v>
      </c>
      <c r="W7" s="201">
        <v>207</v>
      </c>
      <c r="X7" s="201">
        <f>SUM(T7:W7)</f>
        <v>1659</v>
      </c>
      <c r="Z7" s="201">
        <v>0</v>
      </c>
      <c r="AA7" s="201">
        <v>361</v>
      </c>
      <c r="AB7" s="201">
        <f>509-AA7</f>
        <v>148</v>
      </c>
      <c r="AC7" s="201">
        <v>0</v>
      </c>
      <c r="AD7" s="201">
        <f>SUM(Z7:AC7)</f>
        <v>509</v>
      </c>
      <c r="AF7" s="201">
        <v>0</v>
      </c>
      <c r="AG7" s="201"/>
      <c r="AH7" s="201">
        <v>0</v>
      </c>
      <c r="AI7" s="201">
        <v>0</v>
      </c>
      <c r="AJ7" s="201">
        <v>0</v>
      </c>
      <c r="AK7" s="201">
        <v>0</v>
      </c>
      <c r="AL7" s="201">
        <f>SUM(AH7:AK7)</f>
        <v>0</v>
      </c>
      <c r="AN7" s="201">
        <v>0</v>
      </c>
      <c r="AO7" s="201">
        <v>0</v>
      </c>
      <c r="AP7" s="201">
        <v>0</v>
      </c>
      <c r="AQ7" s="201">
        <v>0</v>
      </c>
      <c r="AR7" s="201">
        <f>SUM(AN7:AQ7)</f>
        <v>0</v>
      </c>
      <c r="AT7" s="201">
        <v>0</v>
      </c>
      <c r="AU7" s="201">
        <v>0</v>
      </c>
    </row>
    <row r="8" spans="1:47">
      <c r="A8" s="38"/>
      <c r="B8" s="38"/>
      <c r="C8" s="38"/>
      <c r="D8" s="38"/>
      <c r="E8" s="38"/>
      <c r="F8" s="38"/>
      <c r="G8" s="116"/>
      <c r="H8" s="201"/>
      <c r="I8" s="201"/>
      <c r="J8" s="201"/>
      <c r="K8" s="201"/>
      <c r="L8" s="201"/>
      <c r="N8" s="201"/>
      <c r="O8" s="201"/>
      <c r="P8" s="201"/>
      <c r="Q8" s="201"/>
      <c r="R8" s="201"/>
      <c r="T8" s="201"/>
      <c r="U8" s="201"/>
      <c r="V8" s="201"/>
      <c r="W8" s="201"/>
      <c r="X8" s="201"/>
      <c r="Z8" s="201"/>
      <c r="AA8" s="201"/>
      <c r="AB8" s="201"/>
      <c r="AC8" s="201"/>
      <c r="AD8" s="201"/>
      <c r="AF8" s="201"/>
      <c r="AG8" s="201"/>
      <c r="AH8" s="201"/>
      <c r="AI8" s="201"/>
      <c r="AJ8" s="201"/>
      <c r="AK8" s="201"/>
      <c r="AL8" s="201"/>
      <c r="AN8" s="201"/>
      <c r="AO8" s="201"/>
      <c r="AP8" s="201"/>
      <c r="AQ8" s="201"/>
      <c r="AR8" s="201"/>
      <c r="AT8" s="201"/>
      <c r="AU8" s="201"/>
    </row>
    <row r="9" spans="1:47">
      <c r="A9" s="38" t="s">
        <v>329</v>
      </c>
      <c r="B9" s="38">
        <v>1014</v>
      </c>
      <c r="C9" s="38">
        <v>1105</v>
      </c>
      <c r="D9" s="38">
        <v>733</v>
      </c>
      <c r="E9" s="38">
        <v>821</v>
      </c>
      <c r="F9" s="38">
        <f>SUM(B9:E9)</f>
        <v>3673</v>
      </c>
      <c r="G9" s="116"/>
      <c r="H9" s="201">
        <v>1542</v>
      </c>
      <c r="I9" s="201">
        <v>1442</v>
      </c>
      <c r="J9" s="289">
        <f>899+468</f>
        <v>1367</v>
      </c>
      <c r="K9" s="201">
        <v>1303</v>
      </c>
      <c r="L9" s="201">
        <f>SUM(H9:K9)</f>
        <v>5654</v>
      </c>
      <c r="N9" s="201">
        <f>596+615+625</f>
        <v>1836</v>
      </c>
      <c r="O9" s="201">
        <f>784+713+677</f>
        <v>2174</v>
      </c>
      <c r="P9" s="201">
        <f>1295</f>
        <v>1295</v>
      </c>
      <c r="Q9" s="201">
        <v>555</v>
      </c>
      <c r="R9" s="201">
        <f>SUM(N9:Q9)</f>
        <v>5860</v>
      </c>
      <c r="T9" s="201">
        <v>946</v>
      </c>
      <c r="U9" s="201">
        <f>7823-946</f>
        <v>6877</v>
      </c>
      <c r="V9" s="201">
        <f>11287-946-6877</f>
        <v>3464</v>
      </c>
      <c r="W9" s="201">
        <f>12918-946-6877-3464</f>
        <v>1631</v>
      </c>
      <c r="X9" s="201">
        <f>SUM(T9:W9)</f>
        <v>12918</v>
      </c>
      <c r="Z9" s="201">
        <v>0</v>
      </c>
      <c r="AA9" s="201">
        <v>2888</v>
      </c>
      <c r="AB9" s="201">
        <f>4075-AA9</f>
        <v>1187</v>
      </c>
      <c r="AC9" s="201">
        <v>0</v>
      </c>
      <c r="AD9" s="201">
        <f>SUM(Z9:AC9)</f>
        <v>4075</v>
      </c>
      <c r="AF9" s="201">
        <v>0</v>
      </c>
      <c r="AG9" s="201"/>
      <c r="AH9" s="201">
        <v>0</v>
      </c>
      <c r="AI9" s="201">
        <v>0</v>
      </c>
      <c r="AJ9" s="201">
        <v>0</v>
      </c>
      <c r="AK9" s="201">
        <v>0</v>
      </c>
      <c r="AL9" s="201">
        <f>SUM(AH9:AK9)</f>
        <v>0</v>
      </c>
      <c r="AN9" s="201">
        <v>0</v>
      </c>
      <c r="AO9" s="201">
        <v>0</v>
      </c>
      <c r="AP9" s="201">
        <v>0</v>
      </c>
      <c r="AQ9" s="201">
        <v>0</v>
      </c>
      <c r="AR9" s="201">
        <f>SUM(AN9:AQ9)</f>
        <v>0</v>
      </c>
      <c r="AT9" s="201">
        <v>0</v>
      </c>
      <c r="AU9" s="201">
        <v>0</v>
      </c>
    </row>
    <row r="10" spans="1:47">
      <c r="A10" s="116"/>
      <c r="B10" s="116"/>
      <c r="C10" s="116"/>
      <c r="D10" s="116"/>
      <c r="E10" s="116"/>
      <c r="F10" s="116"/>
      <c r="G10" s="116"/>
      <c r="H10" s="116"/>
      <c r="I10" s="116"/>
    </row>
    <row r="11" spans="1:47">
      <c r="A11" s="116"/>
      <c r="B11" s="116"/>
      <c r="C11" s="116"/>
      <c r="D11" s="116"/>
      <c r="E11" s="116"/>
      <c r="F11" s="116"/>
      <c r="G11" s="116"/>
      <c r="H11" s="116"/>
      <c r="I11" s="116"/>
      <c r="AA11" s="26"/>
      <c r="AI11" s="26"/>
      <c r="AO11" s="26"/>
    </row>
    <row r="12" spans="1:47">
      <c r="A12" s="116"/>
      <c r="B12" s="116"/>
      <c r="C12" s="116"/>
      <c r="D12" s="116"/>
      <c r="E12" s="116"/>
      <c r="F12" s="116"/>
      <c r="G12" s="116"/>
      <c r="H12" s="116"/>
      <c r="I12" s="116"/>
    </row>
    <row r="13" spans="1:47">
      <c r="A13" s="116"/>
      <c r="B13" s="116"/>
      <c r="C13" s="116"/>
      <c r="D13" s="116"/>
      <c r="E13" s="116"/>
      <c r="F13" s="116"/>
      <c r="G13" s="116"/>
      <c r="H13" s="116"/>
      <c r="I13" s="116"/>
    </row>
    <row r="14" spans="1:47">
      <c r="A14" s="116"/>
      <c r="B14" s="116"/>
      <c r="C14" s="116"/>
      <c r="D14" s="116"/>
      <c r="E14" s="116"/>
      <c r="F14" s="116"/>
      <c r="G14" s="116"/>
      <c r="H14" s="116"/>
      <c r="I14" s="116"/>
    </row>
    <row r="15" spans="1:47">
      <c r="A15" s="116"/>
      <c r="B15" s="116"/>
      <c r="C15" s="116"/>
      <c r="D15" s="116"/>
      <c r="E15" s="116"/>
      <c r="F15" s="116"/>
      <c r="G15" s="116"/>
      <c r="H15" s="116"/>
      <c r="I15" s="116"/>
    </row>
    <row r="16" spans="1:47">
      <c r="A16" s="116"/>
      <c r="B16" s="116"/>
      <c r="C16" s="116"/>
      <c r="D16" s="116"/>
      <c r="E16" s="116"/>
      <c r="F16" s="116"/>
      <c r="G16" s="116"/>
      <c r="H16" s="116"/>
      <c r="I16" s="116"/>
    </row>
    <row r="17" spans="1:9">
      <c r="A17" s="116"/>
      <c r="B17" s="116"/>
      <c r="C17" s="116"/>
      <c r="D17" s="116"/>
      <c r="E17" s="116"/>
      <c r="F17" s="116"/>
      <c r="G17" s="116"/>
      <c r="H17" s="116"/>
      <c r="I17" s="116"/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L75"/>
  <sheetViews>
    <sheetView workbookViewId="0">
      <selection activeCell="C9" sqref="C9"/>
    </sheetView>
  </sheetViews>
  <sheetFormatPr defaultRowHeight="12.75"/>
  <cols>
    <col min="1" max="1" width="34.7109375" customWidth="1"/>
    <col min="2" max="2" width="1.85546875" customWidth="1"/>
    <col min="3" max="3" width="16.85546875" customWidth="1"/>
    <col min="4" max="4" width="2.5703125" customWidth="1"/>
    <col min="6" max="6" width="6.5703125" customWidth="1"/>
    <col min="8" max="8" width="6.28515625" customWidth="1"/>
    <col min="9" max="9" width="2" style="116" customWidth="1"/>
    <col min="10" max="10" width="9.140625" style="116"/>
    <col min="11" max="11" width="6.140625" style="116" customWidth="1"/>
    <col min="12" max="12" width="9.140625" style="116"/>
    <col min="13" max="13" width="6.28515625" style="116" customWidth="1"/>
    <col min="14" max="14" width="9.140625" style="116"/>
    <col min="15" max="15" width="6.28515625" style="116" customWidth="1"/>
    <col min="16" max="16" width="1.42578125" style="116" customWidth="1"/>
    <col min="17" max="17" width="9.140625" style="116"/>
    <col min="18" max="18" width="6.42578125" style="116" customWidth="1"/>
    <col min="19" max="19" width="9.140625" style="116"/>
    <col min="20" max="20" width="6.42578125" style="116" customWidth="1"/>
    <col min="22" max="22" width="6.28515625" customWidth="1"/>
    <col min="23" max="23" width="1.7109375" customWidth="1"/>
    <col min="25" max="25" width="6.28515625" customWidth="1"/>
    <col min="27" max="27" width="7.140625" customWidth="1"/>
    <col min="29" max="29" width="6.5703125" customWidth="1"/>
    <col min="30" max="30" width="1.28515625" customWidth="1"/>
    <col min="32" max="32" width="6" customWidth="1"/>
    <col min="34" max="34" width="8" customWidth="1"/>
    <col min="36" max="36" width="3" customWidth="1"/>
  </cols>
  <sheetData>
    <row r="1" spans="1:38" ht="21" customHeight="1">
      <c r="A1" s="25" t="s">
        <v>527</v>
      </c>
    </row>
    <row r="2" spans="1:38">
      <c r="A2" s="25"/>
    </row>
    <row r="3" spans="1:38">
      <c r="A3" s="25"/>
      <c r="B3" s="25"/>
      <c r="C3" s="204" t="s">
        <v>488</v>
      </c>
      <c r="D3" s="284"/>
      <c r="E3" s="284" t="s">
        <v>550</v>
      </c>
      <c r="F3" s="284"/>
      <c r="G3" s="284"/>
      <c r="H3" s="195"/>
      <c r="I3" s="38"/>
      <c r="J3" s="204" t="s">
        <v>487</v>
      </c>
      <c r="K3" s="284"/>
      <c r="L3" s="284" t="s">
        <v>550</v>
      </c>
      <c r="M3" s="284"/>
      <c r="N3" s="284"/>
      <c r="O3" s="195"/>
      <c r="P3" s="38"/>
      <c r="Q3" s="204" t="s">
        <v>486</v>
      </c>
      <c r="R3" s="284"/>
      <c r="S3" s="284" t="s">
        <v>550</v>
      </c>
      <c r="T3" s="284"/>
      <c r="U3" s="284"/>
      <c r="V3" s="195"/>
      <c r="W3" s="30"/>
      <c r="X3" s="204" t="s">
        <v>485</v>
      </c>
      <c r="Y3" s="284"/>
      <c r="Z3" s="284" t="s">
        <v>550</v>
      </c>
      <c r="AA3" s="284"/>
      <c r="AB3" s="284"/>
      <c r="AC3" s="195"/>
      <c r="AD3" s="30"/>
      <c r="AE3" s="204" t="s">
        <v>553</v>
      </c>
      <c r="AF3" s="284"/>
      <c r="AG3" s="284" t="s">
        <v>550</v>
      </c>
      <c r="AH3" s="284"/>
      <c r="AI3" s="284"/>
      <c r="AJ3" s="195"/>
    </row>
    <row r="4" spans="1:38">
      <c r="A4" s="25"/>
      <c r="B4" s="201"/>
      <c r="C4" s="194" t="s">
        <v>528</v>
      </c>
      <c r="D4" s="284"/>
      <c r="E4" s="284" t="s">
        <v>529</v>
      </c>
      <c r="F4" s="284"/>
      <c r="G4" s="284" t="s">
        <v>530</v>
      </c>
      <c r="H4" s="195"/>
      <c r="I4" s="38"/>
      <c r="J4" s="194" t="s">
        <v>528</v>
      </c>
      <c r="K4" s="284"/>
      <c r="L4" s="284" t="s">
        <v>529</v>
      </c>
      <c r="M4" s="284"/>
      <c r="N4" s="284" t="s">
        <v>530</v>
      </c>
      <c r="O4" s="195"/>
      <c r="P4" s="38"/>
      <c r="Q4" s="194" t="s">
        <v>528</v>
      </c>
      <c r="R4" s="284"/>
      <c r="S4" s="284" t="s">
        <v>529</v>
      </c>
      <c r="T4" s="284"/>
      <c r="U4" s="284" t="s">
        <v>530</v>
      </c>
      <c r="V4" s="195"/>
      <c r="W4" s="30"/>
      <c r="X4" s="194" t="s">
        <v>528</v>
      </c>
      <c r="Y4" s="284"/>
      <c r="Z4" s="284" t="s">
        <v>529</v>
      </c>
      <c r="AA4" s="284"/>
      <c r="AB4" s="284" t="s">
        <v>530</v>
      </c>
      <c r="AC4" s="195"/>
      <c r="AD4" s="30"/>
      <c r="AE4" s="194" t="s">
        <v>528</v>
      </c>
      <c r="AF4" s="284"/>
      <c r="AG4" s="284" t="s">
        <v>529</v>
      </c>
      <c r="AH4" s="284"/>
      <c r="AI4" s="284" t="s">
        <v>554</v>
      </c>
      <c r="AJ4" s="195"/>
    </row>
    <row r="5" spans="1:38">
      <c r="A5" s="25"/>
      <c r="B5" s="201"/>
      <c r="C5" s="285" t="s">
        <v>546</v>
      </c>
      <c r="D5" s="38"/>
      <c r="E5" s="38" t="s">
        <v>546</v>
      </c>
      <c r="F5" s="38"/>
      <c r="G5" s="38" t="s">
        <v>546</v>
      </c>
      <c r="H5" s="193"/>
      <c r="I5" s="38"/>
      <c r="J5" s="285" t="s">
        <v>551</v>
      </c>
      <c r="K5" s="38"/>
      <c r="L5" s="285" t="s">
        <v>551</v>
      </c>
      <c r="M5" s="38"/>
      <c r="N5" s="285" t="s">
        <v>551</v>
      </c>
      <c r="O5" s="193"/>
      <c r="P5" s="38"/>
      <c r="Q5" s="285" t="s">
        <v>552</v>
      </c>
      <c r="R5" s="38"/>
      <c r="S5" s="285" t="s">
        <v>552</v>
      </c>
      <c r="T5" s="38"/>
      <c r="U5" s="285" t="s">
        <v>552</v>
      </c>
      <c r="V5" s="193"/>
      <c r="W5" s="30"/>
      <c r="X5" s="285" t="s">
        <v>544</v>
      </c>
      <c r="Y5" s="38"/>
      <c r="Z5" s="285" t="s">
        <v>544</v>
      </c>
      <c r="AA5" s="38"/>
      <c r="AB5" s="285" t="s">
        <v>544</v>
      </c>
      <c r="AC5" s="193"/>
      <c r="AD5" s="30"/>
      <c r="AE5" s="285"/>
      <c r="AF5" s="38"/>
      <c r="AG5" s="38"/>
      <c r="AH5" s="38"/>
      <c r="AI5" s="38"/>
      <c r="AJ5" s="193"/>
    </row>
    <row r="6" spans="1:38">
      <c r="A6" s="25"/>
      <c r="B6" s="208"/>
      <c r="C6" s="318">
        <v>2003</v>
      </c>
      <c r="D6" s="197"/>
      <c r="E6" s="291">
        <v>2003</v>
      </c>
      <c r="F6" s="197"/>
      <c r="G6" s="291">
        <v>2003</v>
      </c>
      <c r="H6" s="292"/>
      <c r="I6" s="197"/>
      <c r="J6" s="318">
        <v>2003</v>
      </c>
      <c r="K6" s="197"/>
      <c r="L6" s="291">
        <v>2003</v>
      </c>
      <c r="M6" s="197"/>
      <c r="N6" s="291">
        <v>2003</v>
      </c>
      <c r="O6" s="292"/>
      <c r="P6" s="38"/>
      <c r="Q6" s="318">
        <v>2003</v>
      </c>
      <c r="R6" s="197"/>
      <c r="S6" s="291">
        <v>2003</v>
      </c>
      <c r="T6" s="197"/>
      <c r="U6" s="291">
        <v>2003</v>
      </c>
      <c r="V6" s="292"/>
      <c r="W6" s="30"/>
      <c r="X6" s="318">
        <v>2003</v>
      </c>
      <c r="Y6" s="197"/>
      <c r="Z6" s="291">
        <v>2003</v>
      </c>
      <c r="AA6" s="197"/>
      <c r="AB6" s="291">
        <v>2003</v>
      </c>
      <c r="AC6" s="292"/>
      <c r="AD6" s="30"/>
      <c r="AE6" s="318">
        <v>2003</v>
      </c>
      <c r="AF6" s="197"/>
      <c r="AG6" s="291">
        <v>2003</v>
      </c>
      <c r="AH6" s="197"/>
      <c r="AI6" s="291">
        <v>2003</v>
      </c>
      <c r="AJ6" s="292"/>
    </row>
    <row r="7" spans="1:38">
      <c r="A7" s="298" t="s">
        <v>531</v>
      </c>
      <c r="B7" s="283"/>
      <c r="C7" s="293" t="s">
        <v>329</v>
      </c>
      <c r="D7" s="41"/>
      <c r="E7" s="41" t="s">
        <v>329</v>
      </c>
      <c r="F7" s="41"/>
      <c r="G7" s="41" t="s">
        <v>329</v>
      </c>
      <c r="H7" s="42"/>
      <c r="I7" s="17"/>
      <c r="J7" s="293" t="s">
        <v>329</v>
      </c>
      <c r="K7" s="41"/>
      <c r="L7" s="41" t="s">
        <v>329</v>
      </c>
      <c r="M7" s="41"/>
      <c r="N7" s="41" t="s">
        <v>329</v>
      </c>
      <c r="O7" s="42"/>
      <c r="P7" s="38"/>
      <c r="Q7" s="293" t="s">
        <v>329</v>
      </c>
      <c r="R7" s="41"/>
      <c r="S7" s="41" t="s">
        <v>329</v>
      </c>
      <c r="T7" s="41"/>
      <c r="U7" s="41" t="s">
        <v>329</v>
      </c>
      <c r="V7" s="42"/>
      <c r="W7" s="30"/>
      <c r="X7" s="293" t="s">
        <v>329</v>
      </c>
      <c r="Y7" s="41"/>
      <c r="Z7" s="41" t="s">
        <v>329</v>
      </c>
      <c r="AA7" s="41"/>
      <c r="AB7" s="41" t="s">
        <v>329</v>
      </c>
      <c r="AC7" s="42"/>
      <c r="AD7" s="30"/>
      <c r="AE7" s="293" t="s">
        <v>329</v>
      </c>
      <c r="AF7" s="41"/>
      <c r="AG7" s="41" t="s">
        <v>329</v>
      </c>
      <c r="AH7" s="41"/>
      <c r="AI7" s="41" t="s">
        <v>329</v>
      </c>
      <c r="AJ7" s="42"/>
    </row>
    <row r="8" spans="1:38">
      <c r="A8" s="50" t="s">
        <v>338</v>
      </c>
      <c r="B8" s="215"/>
      <c r="C8" s="18">
        <v>5495</v>
      </c>
      <c r="D8" s="265"/>
      <c r="E8" s="265">
        <v>1086</v>
      </c>
      <c r="F8" s="265"/>
      <c r="G8" s="265">
        <v>6581</v>
      </c>
      <c r="H8" s="15"/>
      <c r="I8" s="265"/>
      <c r="J8" s="18">
        <f t="shared" ref="J8:J13" si="0">+N8-L8</f>
        <v>5501</v>
      </c>
      <c r="K8" s="265"/>
      <c r="L8" s="265">
        <v>1214</v>
      </c>
      <c r="M8" s="265"/>
      <c r="N8" s="265">
        <v>6715</v>
      </c>
      <c r="O8" s="15"/>
      <c r="P8" s="38"/>
      <c r="Q8" s="18">
        <f t="shared" ref="Q8:Q13" si="1">+U8-S8</f>
        <v>6327</v>
      </c>
      <c r="R8" s="265"/>
      <c r="S8" s="265">
        <f>2350-1198</f>
        <v>1152</v>
      </c>
      <c r="T8" s="265"/>
      <c r="U8" s="265">
        <f>14382-6903</f>
        <v>7479</v>
      </c>
      <c r="V8" s="15"/>
      <c r="W8" s="30"/>
      <c r="X8" s="18">
        <f t="shared" ref="X8:X13" si="2">+AB8-Z8</f>
        <v>5705</v>
      </c>
      <c r="Y8" s="265"/>
      <c r="Z8" s="30">
        <v>1198</v>
      </c>
      <c r="AA8" s="265"/>
      <c r="AB8" s="16">
        <v>6903</v>
      </c>
      <c r="AC8" s="15"/>
      <c r="AD8" s="30"/>
      <c r="AE8" s="329">
        <f t="shared" ref="AE8:AE13" si="3">+C8+J8+Q8+X8</f>
        <v>23028</v>
      </c>
      <c r="AF8" s="330"/>
      <c r="AG8" s="330">
        <f t="shared" ref="AG8:AG13" si="4">+E8+L8+S8+Z8</f>
        <v>4650</v>
      </c>
      <c r="AH8" s="330"/>
      <c r="AI8" s="330">
        <f t="shared" ref="AI8:AI13" si="5">+G8+N8+U8+AB8</f>
        <v>27678</v>
      </c>
      <c r="AJ8" s="331"/>
    </row>
    <row r="9" spans="1:38" ht="16.5" customHeight="1">
      <c r="A9" s="317" t="s">
        <v>547</v>
      </c>
      <c r="B9" s="50"/>
      <c r="C9" s="14">
        <v>176</v>
      </c>
      <c r="D9" s="123"/>
      <c r="E9" s="123">
        <v>0</v>
      </c>
      <c r="F9" s="123"/>
      <c r="G9" s="123">
        <v>176</v>
      </c>
      <c r="H9" s="12"/>
      <c r="I9" s="123"/>
      <c r="J9" s="18">
        <f t="shared" si="0"/>
        <v>165</v>
      </c>
      <c r="K9" s="123"/>
      <c r="L9" s="123"/>
      <c r="M9" s="123"/>
      <c r="N9" s="123">
        <v>165</v>
      </c>
      <c r="O9" s="12"/>
      <c r="P9" s="38"/>
      <c r="Q9" s="18">
        <f t="shared" si="1"/>
        <v>251</v>
      </c>
      <c r="R9" s="123"/>
      <c r="S9" s="123"/>
      <c r="T9" s="123"/>
      <c r="U9" s="123">
        <v>251</v>
      </c>
      <c r="V9" s="12"/>
      <c r="W9" s="30"/>
      <c r="X9" s="18">
        <f t="shared" si="2"/>
        <v>230</v>
      </c>
      <c r="Y9" s="123"/>
      <c r="Z9" s="30">
        <v>0</v>
      </c>
      <c r="AA9" s="123"/>
      <c r="AB9" s="267">
        <v>230</v>
      </c>
      <c r="AC9" s="12"/>
      <c r="AD9" s="30"/>
      <c r="AE9" s="18">
        <f t="shared" si="3"/>
        <v>822</v>
      </c>
      <c r="AF9" s="265"/>
      <c r="AG9" s="265">
        <f t="shared" si="4"/>
        <v>0</v>
      </c>
      <c r="AH9" s="265"/>
      <c r="AI9" s="265">
        <f t="shared" si="5"/>
        <v>822</v>
      </c>
      <c r="AJ9" s="12"/>
    </row>
    <row r="10" spans="1:38">
      <c r="A10" s="316" t="s">
        <v>548</v>
      </c>
      <c r="B10" s="217"/>
      <c r="C10" s="13">
        <f>+G10-E10</f>
        <v>53869</v>
      </c>
      <c r="D10" s="314"/>
      <c r="E10" s="314">
        <v>10267</v>
      </c>
      <c r="F10" s="314"/>
      <c r="G10" s="314">
        <f>63315+821</f>
        <v>64136</v>
      </c>
      <c r="H10" s="319"/>
      <c r="I10" s="314"/>
      <c r="J10" s="18">
        <f t="shared" si="0"/>
        <v>52055</v>
      </c>
      <c r="K10" s="314"/>
      <c r="L10" s="314">
        <v>11350</v>
      </c>
      <c r="M10" s="314"/>
      <c r="N10" s="314">
        <f>62672+733</f>
        <v>63405</v>
      </c>
      <c r="O10" s="319"/>
      <c r="P10" s="38"/>
      <c r="Q10" s="18">
        <f t="shared" si="1"/>
        <v>61597</v>
      </c>
      <c r="R10" s="314"/>
      <c r="S10" s="314">
        <f>22408-11477+14</f>
        <v>10945</v>
      </c>
      <c r="T10" s="314"/>
      <c r="U10" s="314">
        <f>137830+47-66433+1105-7</f>
        <v>72542</v>
      </c>
      <c r="V10" s="319"/>
      <c r="W10" s="30"/>
      <c r="X10" s="18">
        <f t="shared" si="2"/>
        <v>55970</v>
      </c>
      <c r="Y10" s="314"/>
      <c r="Z10" s="267">
        <f>11467+10</f>
        <v>11477</v>
      </c>
      <c r="AA10" s="314"/>
      <c r="AB10" s="267">
        <f>66408+1039</f>
        <v>67447</v>
      </c>
      <c r="AC10" s="319"/>
      <c r="AD10" s="30"/>
      <c r="AE10" s="18">
        <f t="shared" si="3"/>
        <v>223491</v>
      </c>
      <c r="AF10" s="265"/>
      <c r="AG10" s="265">
        <f t="shared" si="4"/>
        <v>44039</v>
      </c>
      <c r="AH10" s="265"/>
      <c r="AI10" s="265">
        <f t="shared" si="5"/>
        <v>267530</v>
      </c>
      <c r="AJ10" s="319"/>
      <c r="AK10">
        <v>263857</v>
      </c>
      <c r="AL10" s="338">
        <f>+AI10-AK10</f>
        <v>3673</v>
      </c>
    </row>
    <row r="11" spans="1:38">
      <c r="A11" s="106" t="s">
        <v>339</v>
      </c>
      <c r="B11" s="217"/>
      <c r="C11" s="13">
        <f>+G11-E11</f>
        <v>-53290</v>
      </c>
      <c r="D11" s="314"/>
      <c r="E11" s="314">
        <v>-11666</v>
      </c>
      <c r="F11" s="314"/>
      <c r="G11" s="314">
        <f>-64135-821</f>
        <v>-64956</v>
      </c>
      <c r="H11" s="319"/>
      <c r="I11" s="314"/>
      <c r="J11" s="18">
        <f t="shared" si="0"/>
        <v>-52787</v>
      </c>
      <c r="K11" s="314"/>
      <c r="L11" s="314">
        <v>-12762</v>
      </c>
      <c r="M11" s="314"/>
      <c r="N11" s="314">
        <f>-64762-733-54</f>
        <v>-65549</v>
      </c>
      <c r="O11" s="319"/>
      <c r="P11" s="38"/>
      <c r="Q11" s="18">
        <f t="shared" si="1"/>
        <v>-57798</v>
      </c>
      <c r="R11" s="314"/>
      <c r="S11" s="314">
        <f>-23118+11659</f>
        <v>-11459</v>
      </c>
      <c r="T11" s="314"/>
      <c r="U11" s="314">
        <f>-132594+99+42+64294-1105+7</f>
        <v>-69257</v>
      </c>
      <c r="V11" s="319"/>
      <c r="W11" s="30"/>
      <c r="X11" s="18">
        <f t="shared" si="2"/>
        <v>-53649</v>
      </c>
      <c r="Y11" s="314"/>
      <c r="Z11" s="267">
        <v>-11659</v>
      </c>
      <c r="AA11" s="314"/>
      <c r="AB11" s="267">
        <f>-65252-77+22-1</f>
        <v>-65308</v>
      </c>
      <c r="AC11" s="319"/>
      <c r="AD11" s="30"/>
      <c r="AE11" s="18">
        <f t="shared" si="3"/>
        <v>-217524</v>
      </c>
      <c r="AF11" s="265"/>
      <c r="AG11" s="265">
        <f t="shared" si="4"/>
        <v>-47546</v>
      </c>
      <c r="AH11" s="265"/>
      <c r="AI11" s="265">
        <f t="shared" si="5"/>
        <v>-265070</v>
      </c>
      <c r="AJ11" s="319"/>
      <c r="AK11">
        <v>-261397</v>
      </c>
      <c r="AL11" s="338">
        <f>+AI11-AK11</f>
        <v>-3673</v>
      </c>
    </row>
    <row r="12" spans="1:38" s="349" customFormat="1">
      <c r="A12" s="340" t="s">
        <v>532</v>
      </c>
      <c r="B12" s="341"/>
      <c r="C12" s="342">
        <f>+G12-E12</f>
        <v>10817</v>
      </c>
      <c r="D12" s="343"/>
      <c r="E12" s="343">
        <v>-7996</v>
      </c>
      <c r="F12" s="343"/>
      <c r="G12" s="343">
        <v>2821</v>
      </c>
      <c r="H12" s="344"/>
      <c r="I12" s="343"/>
      <c r="J12" s="345">
        <f t="shared" si="0"/>
        <v>-10817</v>
      </c>
      <c r="K12" s="343"/>
      <c r="L12" s="343">
        <v>0</v>
      </c>
      <c r="M12" s="343"/>
      <c r="N12" s="343">
        <v>-10817</v>
      </c>
      <c r="O12" s="344"/>
      <c r="P12" s="346"/>
      <c r="Q12" s="345">
        <f t="shared" si="1"/>
        <v>0</v>
      </c>
      <c r="R12" s="343"/>
      <c r="S12" s="343">
        <v>0</v>
      </c>
      <c r="T12" s="343"/>
      <c r="U12" s="343">
        <v>0</v>
      </c>
      <c r="V12" s="344"/>
      <c r="W12" s="340"/>
      <c r="X12" s="345">
        <f t="shared" si="2"/>
        <v>0</v>
      </c>
      <c r="Y12" s="343"/>
      <c r="Z12" s="347"/>
      <c r="AA12" s="343"/>
      <c r="AB12" s="347"/>
      <c r="AC12" s="344"/>
      <c r="AD12" s="340"/>
      <c r="AE12" s="345">
        <f t="shared" si="3"/>
        <v>0</v>
      </c>
      <c r="AF12" s="348"/>
      <c r="AG12" s="348">
        <f t="shared" si="4"/>
        <v>-7996</v>
      </c>
      <c r="AH12" s="348"/>
      <c r="AI12" s="348">
        <f t="shared" si="5"/>
        <v>-7996</v>
      </c>
      <c r="AJ12" s="344"/>
    </row>
    <row r="13" spans="1:38">
      <c r="A13" s="106" t="s">
        <v>341</v>
      </c>
      <c r="B13" s="221"/>
      <c r="C13" s="320">
        <f>+G13-E13</f>
        <v>289</v>
      </c>
      <c r="D13" s="299"/>
      <c r="E13" s="299">
        <v>17</v>
      </c>
      <c r="F13" s="299"/>
      <c r="G13" s="299">
        <v>306</v>
      </c>
      <c r="H13" s="321"/>
      <c r="I13" s="314"/>
      <c r="J13" s="322">
        <f t="shared" si="0"/>
        <v>131</v>
      </c>
      <c r="K13" s="299"/>
      <c r="L13" s="299">
        <v>0</v>
      </c>
      <c r="M13" s="299"/>
      <c r="N13" s="299">
        <v>131</v>
      </c>
      <c r="O13" s="321"/>
      <c r="P13" s="38"/>
      <c r="Q13" s="322">
        <f t="shared" si="1"/>
        <v>250</v>
      </c>
      <c r="R13" s="299"/>
      <c r="S13" s="299">
        <v>0</v>
      </c>
      <c r="T13" s="299"/>
      <c r="U13" s="299">
        <f>1086-836</f>
        <v>250</v>
      </c>
      <c r="V13" s="321"/>
      <c r="W13" s="30"/>
      <c r="X13" s="322">
        <f t="shared" si="2"/>
        <v>836</v>
      </c>
      <c r="Y13" s="299"/>
      <c r="Z13" s="299">
        <v>0</v>
      </c>
      <c r="AA13" s="299"/>
      <c r="AB13" s="299">
        <v>836</v>
      </c>
      <c r="AC13" s="321"/>
      <c r="AD13" s="30"/>
      <c r="AE13" s="322">
        <f t="shared" si="3"/>
        <v>1506</v>
      </c>
      <c r="AF13" s="323"/>
      <c r="AG13" s="323">
        <f t="shared" si="4"/>
        <v>17</v>
      </c>
      <c r="AH13" s="323"/>
      <c r="AI13" s="323">
        <f t="shared" si="5"/>
        <v>1523</v>
      </c>
      <c r="AJ13" s="321"/>
    </row>
    <row r="14" spans="1:38">
      <c r="A14" s="106" t="s">
        <v>342</v>
      </c>
      <c r="B14" s="219"/>
      <c r="C14" s="324">
        <f>SUM(C10:C13)</f>
        <v>11685</v>
      </c>
      <c r="D14" s="278"/>
      <c r="E14" s="278">
        <f>SUM(E10:E13)</f>
        <v>-9378</v>
      </c>
      <c r="F14" s="278"/>
      <c r="G14" s="278">
        <f>SUM(G10:G13)</f>
        <v>2307</v>
      </c>
      <c r="H14" s="325"/>
      <c r="I14" s="278"/>
      <c r="J14" s="324">
        <f>SUM(J10:J13)</f>
        <v>-11418</v>
      </c>
      <c r="K14" s="278"/>
      <c r="L14" s="278">
        <f>SUM(L10:L13)</f>
        <v>-1412</v>
      </c>
      <c r="M14" s="278"/>
      <c r="N14" s="278">
        <f>SUM(N10:N13)</f>
        <v>-12830</v>
      </c>
      <c r="O14" s="325"/>
      <c r="P14" s="38"/>
      <c r="Q14" s="324">
        <f>SUM(Q10:Q13)</f>
        <v>4049</v>
      </c>
      <c r="R14" s="278"/>
      <c r="S14" s="278">
        <f>SUM(S10:S13)</f>
        <v>-514</v>
      </c>
      <c r="T14" s="278"/>
      <c r="U14" s="278">
        <f>SUM(U10:U13)</f>
        <v>3535</v>
      </c>
      <c r="V14" s="325"/>
      <c r="W14" s="30"/>
      <c r="X14" s="324">
        <f>SUM(X10:X13)</f>
        <v>3157</v>
      </c>
      <c r="Y14" s="278"/>
      <c r="Z14" s="300">
        <f>SUM(Z10:Z13)</f>
        <v>-182</v>
      </c>
      <c r="AA14" s="278"/>
      <c r="AB14" s="300">
        <f>SUM(AB10:AB13)</f>
        <v>2975</v>
      </c>
      <c r="AC14" s="325"/>
      <c r="AD14" s="30"/>
      <c r="AE14" s="332">
        <f>SUM(AE10:AE13)</f>
        <v>7473</v>
      </c>
      <c r="AF14" s="333"/>
      <c r="AG14" s="333">
        <f>SUM(AG10:AG13)</f>
        <v>-11486</v>
      </c>
      <c r="AH14" s="333"/>
      <c r="AI14" s="333">
        <f>SUM(AI10:AI13)</f>
        <v>-4013</v>
      </c>
      <c r="AJ14" s="334"/>
    </row>
    <row r="15" spans="1:38" ht="14.25" customHeight="1">
      <c r="A15" s="30" t="s">
        <v>343</v>
      </c>
      <c r="B15" s="217"/>
      <c r="C15" s="320">
        <v>-89</v>
      </c>
      <c r="D15" s="299"/>
      <c r="E15" s="299">
        <v>-12</v>
      </c>
      <c r="F15" s="299"/>
      <c r="G15" s="299">
        <v>-101</v>
      </c>
      <c r="H15" s="321"/>
      <c r="I15" s="314"/>
      <c r="J15" s="320">
        <f>+N15-L15</f>
        <v>-124</v>
      </c>
      <c r="K15" s="299"/>
      <c r="L15" s="299">
        <v>-14</v>
      </c>
      <c r="M15" s="299"/>
      <c r="N15" s="299">
        <v>-138</v>
      </c>
      <c r="O15" s="321"/>
      <c r="P15" s="38"/>
      <c r="Q15" s="320">
        <f>+U15-S15</f>
        <v>-124</v>
      </c>
      <c r="R15" s="299"/>
      <c r="S15" s="299">
        <f>-32+14</f>
        <v>-18</v>
      </c>
      <c r="T15" s="299"/>
      <c r="U15" s="299">
        <f>+-260+118</f>
        <v>-142</v>
      </c>
      <c r="V15" s="321"/>
      <c r="W15" s="30"/>
      <c r="X15" s="320">
        <f>+AB15-Z15</f>
        <v>-104</v>
      </c>
      <c r="Y15" s="299"/>
      <c r="Z15" s="299">
        <v>-14</v>
      </c>
      <c r="AA15" s="299"/>
      <c r="AB15" s="299">
        <v>-118</v>
      </c>
      <c r="AC15" s="321"/>
      <c r="AD15" s="30"/>
      <c r="AE15" s="322">
        <f>+C15+J15+Q15+X15</f>
        <v>-441</v>
      </c>
      <c r="AF15" s="323"/>
      <c r="AG15" s="323">
        <f>+E15+L15+S15+Z15</f>
        <v>-58</v>
      </c>
      <c r="AH15" s="323"/>
      <c r="AI15" s="323">
        <f>+G15+N15+U15+AB15</f>
        <v>-499</v>
      </c>
      <c r="AJ15" s="321"/>
    </row>
    <row r="16" spans="1:38">
      <c r="A16" s="30" t="s">
        <v>344</v>
      </c>
      <c r="B16" s="217"/>
      <c r="C16" s="13">
        <f>+C14+C15</f>
        <v>11596</v>
      </c>
      <c r="D16" s="314"/>
      <c r="E16" s="314">
        <f>+E14+E15</f>
        <v>-9390</v>
      </c>
      <c r="F16" s="314"/>
      <c r="G16" s="314">
        <f>+G14+G15</f>
        <v>2206</v>
      </c>
      <c r="H16" s="319"/>
      <c r="I16" s="314"/>
      <c r="J16" s="13">
        <f>+J14+J15</f>
        <v>-11542</v>
      </c>
      <c r="K16" s="314"/>
      <c r="L16" s="314">
        <f>+L14+L15</f>
        <v>-1426</v>
      </c>
      <c r="M16" s="314"/>
      <c r="N16" s="314">
        <f>+N14+N15</f>
        <v>-12968</v>
      </c>
      <c r="O16" s="319"/>
      <c r="P16" s="38"/>
      <c r="Q16" s="13">
        <f>+Q14+Q15</f>
        <v>3925</v>
      </c>
      <c r="R16" s="314"/>
      <c r="S16" s="314">
        <f>+S14+S15</f>
        <v>-532</v>
      </c>
      <c r="T16" s="314"/>
      <c r="U16" s="314">
        <f>+U14+U15</f>
        <v>3393</v>
      </c>
      <c r="V16" s="319"/>
      <c r="W16" s="30"/>
      <c r="X16" s="13">
        <f>+X14+X15</f>
        <v>3053</v>
      </c>
      <c r="Y16" s="314"/>
      <c r="Z16" s="267">
        <f>SUM(Z14:Z15)</f>
        <v>-196</v>
      </c>
      <c r="AA16" s="314"/>
      <c r="AB16" s="267">
        <f>SUM(AB14:AB15)</f>
        <v>2857</v>
      </c>
      <c r="AC16" s="319"/>
      <c r="AD16" s="30"/>
      <c r="AE16" s="335">
        <f>+AE14+AE15</f>
        <v>7032</v>
      </c>
      <c r="AF16" s="336"/>
      <c r="AG16" s="336">
        <f>SUM(AG14:AG15)</f>
        <v>-11544</v>
      </c>
      <c r="AH16" s="336"/>
      <c r="AI16" s="336">
        <f>SUM(AI14:AI15)</f>
        <v>-4512</v>
      </c>
      <c r="AJ16" s="337"/>
    </row>
    <row r="17" spans="1:36">
      <c r="A17" s="30" t="s">
        <v>345</v>
      </c>
      <c r="B17" s="221"/>
      <c r="C17" s="320">
        <v>-585</v>
      </c>
      <c r="D17" s="299"/>
      <c r="E17" s="299">
        <v>0</v>
      </c>
      <c r="F17" s="299"/>
      <c r="G17" s="299">
        <v>-585</v>
      </c>
      <c r="H17" s="321"/>
      <c r="I17" s="314"/>
      <c r="J17" s="320">
        <f>+N17-L17</f>
        <v>100</v>
      </c>
      <c r="K17" s="299"/>
      <c r="L17" s="299">
        <v>0</v>
      </c>
      <c r="M17" s="299"/>
      <c r="N17" s="299">
        <v>100</v>
      </c>
      <c r="O17" s="321"/>
      <c r="P17" s="38"/>
      <c r="Q17" s="320">
        <f>+U17-S17</f>
        <v>-873</v>
      </c>
      <c r="R17" s="299"/>
      <c r="S17" s="299">
        <v>0</v>
      </c>
      <c r="T17" s="299"/>
      <c r="U17" s="299">
        <f>-1476+603</f>
        <v>-873</v>
      </c>
      <c r="V17" s="321"/>
      <c r="W17" s="30"/>
      <c r="X17" s="320">
        <f>+AB17-Z17</f>
        <v>-603</v>
      </c>
      <c r="Y17" s="299"/>
      <c r="Z17" s="299"/>
      <c r="AA17" s="299"/>
      <c r="AB17" s="299">
        <v>-603</v>
      </c>
      <c r="AC17" s="321"/>
      <c r="AD17" s="30"/>
      <c r="AE17" s="322">
        <f>+C17+J17+Q17+X17</f>
        <v>-1961</v>
      </c>
      <c r="AF17" s="323"/>
      <c r="AG17" s="323">
        <f>+E17+L17+S17+Z17</f>
        <v>0</v>
      </c>
      <c r="AH17" s="323"/>
      <c r="AI17" s="323">
        <f>+G17+N17+U17+AB17</f>
        <v>-1961</v>
      </c>
      <c r="AJ17" s="321"/>
    </row>
    <row r="18" spans="1:36">
      <c r="A18" s="30" t="s">
        <v>346</v>
      </c>
      <c r="B18" s="217"/>
      <c r="C18" s="13">
        <f>SUM(C16:C17)</f>
        <v>11011</v>
      </c>
      <c r="D18" s="314"/>
      <c r="E18" s="314">
        <f>SUM(E16:E17)</f>
        <v>-9390</v>
      </c>
      <c r="F18" s="314"/>
      <c r="G18" s="314">
        <f>SUM(G16:G17)</f>
        <v>1621</v>
      </c>
      <c r="H18" s="319"/>
      <c r="I18" s="314"/>
      <c r="J18" s="13">
        <f>SUM(J16:J17)</f>
        <v>-11442</v>
      </c>
      <c r="K18" s="314"/>
      <c r="L18" s="314">
        <f>SUM(L16:L17)</f>
        <v>-1426</v>
      </c>
      <c r="M18" s="314"/>
      <c r="N18" s="314">
        <f>SUM(N16:N17)</f>
        <v>-12868</v>
      </c>
      <c r="O18" s="319"/>
      <c r="P18" s="38"/>
      <c r="Q18" s="13">
        <f>SUM(Q16:Q17)</f>
        <v>3052</v>
      </c>
      <c r="R18" s="314"/>
      <c r="S18" s="314">
        <f>SUM(S16:S17)</f>
        <v>-532</v>
      </c>
      <c r="T18" s="314"/>
      <c r="U18" s="314">
        <f>SUM(U16:U17)</f>
        <v>2520</v>
      </c>
      <c r="V18" s="319"/>
      <c r="W18" s="30"/>
      <c r="X18" s="13">
        <f>SUM(X16:X17)</f>
        <v>2450</v>
      </c>
      <c r="Y18" s="314"/>
      <c r="Z18" s="267">
        <f>SUM(Z16:Z17)</f>
        <v>-196</v>
      </c>
      <c r="AA18" s="314"/>
      <c r="AB18" s="267">
        <f>SUM(AB16:AB17)</f>
        <v>2254</v>
      </c>
      <c r="AC18" s="319"/>
      <c r="AD18" s="30"/>
      <c r="AE18" s="335">
        <f>SUM(AE16:AE17)</f>
        <v>5071</v>
      </c>
      <c r="AF18" s="336"/>
      <c r="AG18" s="336">
        <f>SUM(AG16:AG17)</f>
        <v>-11544</v>
      </c>
      <c r="AH18" s="336"/>
      <c r="AI18" s="336">
        <f>SUM(AI16:AI17)</f>
        <v>-6473</v>
      </c>
      <c r="AJ18" s="337"/>
    </row>
    <row r="19" spans="1:36">
      <c r="A19" s="30" t="s">
        <v>347</v>
      </c>
      <c r="B19" s="221"/>
      <c r="C19" s="320">
        <v>-229.30612244897964</v>
      </c>
      <c r="D19" s="299"/>
      <c r="E19" s="299">
        <v>0</v>
      </c>
      <c r="F19" s="299"/>
      <c r="G19" s="299">
        <v>-229.30612244897964</v>
      </c>
      <c r="H19" s="321"/>
      <c r="I19" s="314"/>
      <c r="J19" s="320">
        <f>+N19-L19</f>
        <v>33</v>
      </c>
      <c r="K19" s="299"/>
      <c r="L19" s="299">
        <v>0</v>
      </c>
      <c r="M19" s="299"/>
      <c r="N19" s="299">
        <v>33</v>
      </c>
      <c r="O19" s="321"/>
      <c r="P19" s="38"/>
      <c r="Q19" s="320">
        <f>+U19-S19</f>
        <v>-455</v>
      </c>
      <c r="R19" s="299"/>
      <c r="S19" s="299">
        <v>0</v>
      </c>
      <c r="T19" s="299"/>
      <c r="U19" s="299">
        <f>-984+529</f>
        <v>-455</v>
      </c>
      <c r="V19" s="321"/>
      <c r="W19" s="30"/>
      <c r="X19" s="320">
        <f>+AB19-Z19</f>
        <v>-529</v>
      </c>
      <c r="Y19" s="299"/>
      <c r="Z19" s="299">
        <v>0</v>
      </c>
      <c r="AA19" s="299"/>
      <c r="AB19" s="299">
        <v>-529</v>
      </c>
      <c r="AC19" s="321"/>
      <c r="AD19" s="30"/>
      <c r="AE19" s="322">
        <f>+C19+J19+Q19+X19</f>
        <v>-1180.3061224489797</v>
      </c>
      <c r="AF19" s="323"/>
      <c r="AG19" s="323">
        <f>+E19+L19+S19+Z19</f>
        <v>0</v>
      </c>
      <c r="AH19" s="323"/>
      <c r="AI19" s="323">
        <f>+G19+N19+U19+AB19</f>
        <v>-1180.3061224489797</v>
      </c>
      <c r="AJ19" s="321"/>
    </row>
    <row r="20" spans="1:36">
      <c r="A20" s="30" t="s">
        <v>348</v>
      </c>
      <c r="B20" s="217"/>
      <c r="C20" s="13">
        <f>SUM(C18:C19)</f>
        <v>10781.693877551021</v>
      </c>
      <c r="D20" s="314"/>
      <c r="E20" s="314">
        <f>SUM(E18:E19)</f>
        <v>-9390</v>
      </c>
      <c r="F20" s="314"/>
      <c r="G20" s="314">
        <f>SUM(G18:G19)</f>
        <v>1391.6938775510203</v>
      </c>
      <c r="H20" s="319"/>
      <c r="I20" s="314"/>
      <c r="J20" s="13">
        <f>SUM(J18:J19)</f>
        <v>-11409</v>
      </c>
      <c r="K20" s="314"/>
      <c r="L20" s="314">
        <f>SUM(L18:L19)</f>
        <v>-1426</v>
      </c>
      <c r="M20" s="314"/>
      <c r="N20" s="314">
        <f>SUM(N18:N19)</f>
        <v>-12835</v>
      </c>
      <c r="O20" s="319"/>
      <c r="P20" s="38"/>
      <c r="Q20" s="13">
        <f>SUM(Q18:Q19)</f>
        <v>2597</v>
      </c>
      <c r="R20" s="314"/>
      <c r="S20" s="314">
        <f>SUM(S18:S19)</f>
        <v>-532</v>
      </c>
      <c r="T20" s="314"/>
      <c r="U20" s="314">
        <f>SUM(U18:U19)</f>
        <v>2065</v>
      </c>
      <c r="V20" s="319"/>
      <c r="W20" s="30"/>
      <c r="X20" s="13">
        <f>SUM(X18:X19)</f>
        <v>1921</v>
      </c>
      <c r="Y20" s="314"/>
      <c r="Z20" s="267">
        <f>SUM(Z18:Z19)</f>
        <v>-196</v>
      </c>
      <c r="AA20" s="314"/>
      <c r="AB20" s="267">
        <f>SUM(AB18:AB19)</f>
        <v>1725</v>
      </c>
      <c r="AC20" s="319"/>
      <c r="AD20" s="30"/>
      <c r="AE20" s="335">
        <f>SUM(AE18:AE19)</f>
        <v>3890.6938775510203</v>
      </c>
      <c r="AF20" s="336"/>
      <c r="AG20" s="336">
        <f>SUM(AG18:AG19)</f>
        <v>-11544</v>
      </c>
      <c r="AH20" s="336"/>
      <c r="AI20" s="336">
        <f>SUM(AI18:AI19)</f>
        <v>-7653.3061224489793</v>
      </c>
      <c r="AJ20" s="337"/>
    </row>
    <row r="21" spans="1:36">
      <c r="A21" s="25"/>
      <c r="B21" s="218"/>
      <c r="C21" s="320"/>
      <c r="D21" s="299"/>
      <c r="E21" s="299"/>
      <c r="F21" s="299"/>
      <c r="G21" s="299"/>
      <c r="H21" s="319"/>
      <c r="I21" s="314"/>
      <c r="J21" s="320"/>
      <c r="K21" s="299"/>
      <c r="L21" s="299"/>
      <c r="M21" s="299"/>
      <c r="N21" s="299"/>
      <c r="O21" s="319"/>
      <c r="P21" s="38"/>
      <c r="Q21" s="320"/>
      <c r="R21" s="299"/>
      <c r="S21" s="299"/>
      <c r="T21" s="299"/>
      <c r="U21" s="299"/>
      <c r="V21" s="319"/>
      <c r="W21" s="30"/>
      <c r="X21" s="326"/>
      <c r="Y21" s="327"/>
      <c r="Z21" s="327"/>
      <c r="AA21" s="327"/>
      <c r="AB21" s="327"/>
      <c r="AC21" s="328"/>
      <c r="AD21" s="30"/>
      <c r="AE21" s="320"/>
      <c r="AF21" s="299"/>
      <c r="AG21" s="299"/>
      <c r="AH21" s="299"/>
      <c r="AI21" s="299"/>
      <c r="AJ21" s="321"/>
    </row>
    <row r="22" spans="1:36">
      <c r="C22" s="285"/>
      <c r="D22" s="38"/>
      <c r="E22" s="38"/>
      <c r="F22" s="38"/>
      <c r="G22" s="38"/>
      <c r="H22" s="193"/>
      <c r="I22" s="38"/>
      <c r="J22" s="285"/>
      <c r="K22" s="38"/>
      <c r="L22" s="38"/>
      <c r="M22" s="38"/>
      <c r="N22" s="38"/>
      <c r="O22" s="193"/>
      <c r="P22" s="38"/>
      <c r="Q22" s="285"/>
      <c r="R22" s="38"/>
      <c r="S22" s="38"/>
      <c r="T22" s="38"/>
      <c r="U22" s="38"/>
      <c r="V22" s="193"/>
      <c r="W22" s="30"/>
      <c r="X22" s="285"/>
      <c r="Y22" s="38"/>
      <c r="Z22" s="38"/>
      <c r="AA22" s="38"/>
      <c r="AB22" s="30"/>
      <c r="AC22" s="193"/>
      <c r="AD22" s="30"/>
      <c r="AE22" s="285"/>
      <c r="AF22" s="38"/>
      <c r="AG22" s="38"/>
      <c r="AH22" s="38"/>
      <c r="AI22" s="38"/>
      <c r="AJ22" s="193"/>
    </row>
    <row r="23" spans="1:36">
      <c r="A23" t="s">
        <v>549</v>
      </c>
      <c r="C23" s="290">
        <v>821</v>
      </c>
      <c r="D23" s="264"/>
      <c r="E23" s="264"/>
      <c r="F23" s="264"/>
      <c r="G23" s="264">
        <v>821</v>
      </c>
      <c r="H23" s="196"/>
      <c r="I23" s="38"/>
      <c r="J23" s="290">
        <v>733</v>
      </c>
      <c r="K23" s="264"/>
      <c r="L23" s="264"/>
      <c r="M23" s="264"/>
      <c r="N23" s="264">
        <v>733</v>
      </c>
      <c r="O23" s="196"/>
      <c r="P23" s="38"/>
      <c r="Q23" s="290">
        <v>1105</v>
      </c>
      <c r="R23" s="264"/>
      <c r="S23" s="264"/>
      <c r="T23" s="264"/>
      <c r="U23" s="264">
        <v>1105</v>
      </c>
      <c r="V23" s="196"/>
      <c r="W23" s="30"/>
      <c r="X23" s="290">
        <v>1014</v>
      </c>
      <c r="Y23" s="264"/>
      <c r="Z23" s="264"/>
      <c r="AA23" s="264"/>
      <c r="AB23" s="299">
        <v>1014</v>
      </c>
      <c r="AC23" s="196"/>
      <c r="AD23" s="30"/>
      <c r="AE23" s="322">
        <f>+C23+J23+Q23+X23</f>
        <v>3673</v>
      </c>
      <c r="AF23" s="323"/>
      <c r="AG23" s="323">
        <f>+E23+L23+S23+Z23</f>
        <v>0</v>
      </c>
      <c r="AH23" s="323"/>
      <c r="AI23" s="323">
        <f>+G23+N23+U23+AB23</f>
        <v>3673</v>
      </c>
      <c r="AJ23" s="196"/>
    </row>
    <row r="25" spans="1:36" hidden="1"/>
    <row r="26" spans="1:36" hidden="1"/>
    <row r="27" spans="1:36" hidden="1"/>
    <row r="28" spans="1:36" hidden="1"/>
    <row r="29" spans="1:36" hidden="1">
      <c r="A29" s="298" t="s">
        <v>533</v>
      </c>
    </row>
    <row r="30" spans="1:36" hidden="1"/>
    <row r="31" spans="1:36" hidden="1">
      <c r="A31" s="30" t="s">
        <v>384</v>
      </c>
    </row>
    <row r="32" spans="1:36" hidden="1">
      <c r="A32" s="30" t="s">
        <v>391</v>
      </c>
    </row>
    <row r="33" spans="1:1" hidden="1">
      <c r="A33" s="30" t="s">
        <v>397</v>
      </c>
    </row>
    <row r="34" spans="1:1" hidden="1">
      <c r="A34" s="30" t="s">
        <v>534</v>
      </c>
    </row>
    <row r="35" spans="1:1" hidden="1">
      <c r="A35" s="30" t="s">
        <v>535</v>
      </c>
    </row>
    <row r="36" spans="1:1" hidden="1">
      <c r="A36" s="25"/>
    </row>
    <row r="37" spans="1:1" hidden="1"/>
    <row r="38" spans="1:1" hidden="1"/>
    <row r="39" spans="1:1" hidden="1">
      <c r="A39" s="226"/>
    </row>
    <row r="40" spans="1:1" hidden="1">
      <c r="A40" s="226"/>
    </row>
    <row r="41" spans="1:1" hidden="1">
      <c r="A41" s="25"/>
    </row>
    <row r="42" spans="1:1" hidden="1">
      <c r="A42" s="309" t="s">
        <v>536</v>
      </c>
    </row>
    <row r="43" spans="1:1" hidden="1"/>
    <row r="44" spans="1:1" hidden="1">
      <c r="A44" s="30" t="s">
        <v>357</v>
      </c>
    </row>
    <row r="45" spans="1:1" hidden="1">
      <c r="A45" s="30" t="s">
        <v>359</v>
      </c>
    </row>
    <row r="46" spans="1:1" hidden="1">
      <c r="A46" s="30" t="s">
        <v>537</v>
      </c>
    </row>
    <row r="47" spans="1:1" hidden="1">
      <c r="A47" s="30" t="s">
        <v>538</v>
      </c>
    </row>
    <row r="48" spans="1:1" hidden="1">
      <c r="A48" s="30" t="s">
        <v>539</v>
      </c>
    </row>
    <row r="49" spans="1:38" hidden="1">
      <c r="A49" s="30" t="s">
        <v>540</v>
      </c>
    </row>
    <row r="50" spans="1:38" hidden="1">
      <c r="A50" s="30" t="s">
        <v>541</v>
      </c>
    </row>
    <row r="51" spans="1:38" hidden="1"/>
    <row r="53" spans="1:38" ht="19.5" customHeight="1">
      <c r="A53" s="350" t="s">
        <v>564</v>
      </c>
      <c r="B53" s="349"/>
      <c r="C53" s="349"/>
      <c r="D53" s="349"/>
    </row>
    <row r="55" spans="1:38">
      <c r="A55" s="25"/>
      <c r="B55" s="25"/>
      <c r="C55" s="204" t="s">
        <v>488</v>
      </c>
      <c r="D55" s="284"/>
      <c r="E55" s="284" t="s">
        <v>550</v>
      </c>
      <c r="F55" s="284"/>
      <c r="G55" s="284"/>
      <c r="H55" s="195"/>
      <c r="I55" s="38"/>
      <c r="J55" s="204" t="s">
        <v>487</v>
      </c>
      <c r="K55" s="284"/>
      <c r="L55" s="284" t="s">
        <v>550</v>
      </c>
      <c r="M55" s="284"/>
      <c r="N55" s="284"/>
      <c r="O55" s="195"/>
      <c r="P55" s="38"/>
      <c r="Q55" s="204" t="s">
        <v>486</v>
      </c>
      <c r="R55" s="284"/>
      <c r="S55" s="284" t="s">
        <v>550</v>
      </c>
      <c r="T55" s="284"/>
      <c r="U55" s="284"/>
      <c r="V55" s="195"/>
      <c r="W55" s="30"/>
      <c r="X55" s="204" t="s">
        <v>485</v>
      </c>
      <c r="Y55" s="284"/>
      <c r="Z55" s="284" t="s">
        <v>550</v>
      </c>
      <c r="AA55" s="284"/>
      <c r="AB55" s="284"/>
      <c r="AC55" s="195"/>
      <c r="AD55" s="30"/>
      <c r="AE55" s="204" t="s">
        <v>553</v>
      </c>
      <c r="AF55" s="284"/>
      <c r="AG55" s="284" t="s">
        <v>550</v>
      </c>
      <c r="AH55" s="284"/>
      <c r="AI55" s="284"/>
      <c r="AJ55" s="195"/>
    </row>
    <row r="56" spans="1:38">
      <c r="A56" s="25"/>
      <c r="B56" s="201"/>
      <c r="C56" s="194" t="s">
        <v>528</v>
      </c>
      <c r="D56" s="284"/>
      <c r="E56" s="284" t="s">
        <v>529</v>
      </c>
      <c r="F56" s="284"/>
      <c r="G56" s="284" t="s">
        <v>530</v>
      </c>
      <c r="H56" s="195"/>
      <c r="I56" s="38"/>
      <c r="J56" s="194" t="s">
        <v>528</v>
      </c>
      <c r="K56" s="284"/>
      <c r="L56" s="284" t="s">
        <v>529</v>
      </c>
      <c r="M56" s="284"/>
      <c r="N56" s="284" t="s">
        <v>530</v>
      </c>
      <c r="O56" s="195"/>
      <c r="P56" s="38"/>
      <c r="Q56" s="194" t="s">
        <v>528</v>
      </c>
      <c r="R56" s="284"/>
      <c r="S56" s="284" t="s">
        <v>529</v>
      </c>
      <c r="T56" s="284"/>
      <c r="U56" s="284" t="s">
        <v>530</v>
      </c>
      <c r="V56" s="195"/>
      <c r="W56" s="30"/>
      <c r="X56" s="194" t="s">
        <v>528</v>
      </c>
      <c r="Y56" s="284"/>
      <c r="Z56" s="284" t="s">
        <v>529</v>
      </c>
      <c r="AA56" s="284"/>
      <c r="AB56" s="284" t="s">
        <v>530</v>
      </c>
      <c r="AC56" s="195"/>
      <c r="AD56" s="30"/>
      <c r="AE56" s="194" t="s">
        <v>528</v>
      </c>
      <c r="AF56" s="284"/>
      <c r="AG56" s="284" t="s">
        <v>529</v>
      </c>
      <c r="AH56" s="284"/>
      <c r="AI56" s="284" t="s">
        <v>554</v>
      </c>
      <c r="AJ56" s="195"/>
    </row>
    <row r="57" spans="1:38">
      <c r="A57" s="25"/>
      <c r="B57" s="201"/>
      <c r="C57" s="285" t="s">
        <v>546</v>
      </c>
      <c r="D57" s="38"/>
      <c r="E57" s="38" t="s">
        <v>546</v>
      </c>
      <c r="F57" s="38"/>
      <c r="G57" s="38" t="s">
        <v>546</v>
      </c>
      <c r="H57" s="193"/>
      <c r="I57" s="38"/>
      <c r="J57" s="285" t="s">
        <v>551</v>
      </c>
      <c r="K57" s="38"/>
      <c r="L57" s="285" t="s">
        <v>551</v>
      </c>
      <c r="M57" s="38"/>
      <c r="N57" s="285" t="s">
        <v>551</v>
      </c>
      <c r="O57" s="193"/>
      <c r="P57" s="38"/>
      <c r="Q57" s="285" t="s">
        <v>552</v>
      </c>
      <c r="R57" s="38"/>
      <c r="S57" s="285" t="s">
        <v>552</v>
      </c>
      <c r="T57" s="38"/>
      <c r="U57" s="285" t="s">
        <v>552</v>
      </c>
      <c r="V57" s="193"/>
      <c r="W57" s="30"/>
      <c r="X57" s="285" t="s">
        <v>544</v>
      </c>
      <c r="Y57" s="38"/>
      <c r="Z57" s="285" t="s">
        <v>544</v>
      </c>
      <c r="AA57" s="38"/>
      <c r="AB57" s="285" t="s">
        <v>544</v>
      </c>
      <c r="AC57" s="193"/>
      <c r="AD57" s="30"/>
      <c r="AE57" s="285"/>
      <c r="AF57" s="38"/>
      <c r="AG57" s="38"/>
      <c r="AH57" s="38"/>
      <c r="AI57" s="38"/>
      <c r="AJ57" s="193"/>
    </row>
    <row r="58" spans="1:38">
      <c r="A58" s="25"/>
      <c r="B58" s="208"/>
      <c r="C58" s="318">
        <v>2003</v>
      </c>
      <c r="D58" s="197"/>
      <c r="E58" s="291">
        <v>2003</v>
      </c>
      <c r="F58" s="197"/>
      <c r="G58" s="291">
        <v>2003</v>
      </c>
      <c r="H58" s="292"/>
      <c r="I58" s="197"/>
      <c r="J58" s="318">
        <v>2003</v>
      </c>
      <c r="K58" s="197"/>
      <c r="L58" s="291">
        <v>2003</v>
      </c>
      <c r="M58" s="197"/>
      <c r="N58" s="291">
        <v>2003</v>
      </c>
      <c r="O58" s="292"/>
      <c r="P58" s="38"/>
      <c r="Q58" s="318">
        <v>2003</v>
      </c>
      <c r="R58" s="197"/>
      <c r="S58" s="291">
        <v>2003</v>
      </c>
      <c r="T58" s="197"/>
      <c r="U58" s="291">
        <v>2003</v>
      </c>
      <c r="V58" s="292"/>
      <c r="W58" s="30"/>
      <c r="X58" s="318">
        <v>2003</v>
      </c>
      <c r="Y58" s="197"/>
      <c r="Z58" s="291">
        <v>2003</v>
      </c>
      <c r="AA58" s="197"/>
      <c r="AB58" s="291">
        <v>2003</v>
      </c>
      <c r="AC58" s="292"/>
      <c r="AD58" s="30"/>
      <c r="AE58" s="318">
        <v>2003</v>
      </c>
      <c r="AF58" s="197"/>
      <c r="AG58" s="291">
        <v>2003</v>
      </c>
      <c r="AH58" s="197"/>
      <c r="AI58" s="291">
        <v>2003</v>
      </c>
      <c r="AJ58" s="292"/>
    </row>
    <row r="59" spans="1:38">
      <c r="A59" s="298" t="s">
        <v>531</v>
      </c>
      <c r="B59" s="283"/>
      <c r="C59" s="293" t="s">
        <v>329</v>
      </c>
      <c r="D59" s="41"/>
      <c r="E59" s="41" t="s">
        <v>329</v>
      </c>
      <c r="F59" s="41"/>
      <c r="G59" s="41" t="s">
        <v>329</v>
      </c>
      <c r="H59" s="42"/>
      <c r="I59" s="17"/>
      <c r="J59" s="293" t="s">
        <v>329</v>
      </c>
      <c r="K59" s="41"/>
      <c r="L59" s="41" t="s">
        <v>329</v>
      </c>
      <c r="M59" s="41"/>
      <c r="N59" s="41" t="s">
        <v>329</v>
      </c>
      <c r="O59" s="42"/>
      <c r="P59" s="38"/>
      <c r="Q59" s="293" t="s">
        <v>329</v>
      </c>
      <c r="R59" s="41"/>
      <c r="S59" s="41" t="s">
        <v>329</v>
      </c>
      <c r="T59" s="41"/>
      <c r="U59" s="41" t="s">
        <v>329</v>
      </c>
      <c r="V59" s="42"/>
      <c r="W59" s="30"/>
      <c r="X59" s="293" t="s">
        <v>329</v>
      </c>
      <c r="Y59" s="41"/>
      <c r="Z59" s="41" t="s">
        <v>329</v>
      </c>
      <c r="AA59" s="41"/>
      <c r="AB59" s="41" t="s">
        <v>329</v>
      </c>
      <c r="AC59" s="42"/>
      <c r="AD59" s="30"/>
      <c r="AE59" s="293" t="s">
        <v>329</v>
      </c>
      <c r="AF59" s="41"/>
      <c r="AG59" s="41" t="s">
        <v>329</v>
      </c>
      <c r="AH59" s="41"/>
      <c r="AI59" s="41" t="s">
        <v>329</v>
      </c>
      <c r="AJ59" s="42"/>
    </row>
    <row r="60" spans="1:38">
      <c r="A60" s="50" t="s">
        <v>338</v>
      </c>
      <c r="B60" s="215"/>
      <c r="C60" s="18">
        <v>5495</v>
      </c>
      <c r="D60" s="265"/>
      <c r="E60" s="265">
        <v>1086</v>
      </c>
      <c r="F60" s="265"/>
      <c r="G60" s="265">
        <v>6581</v>
      </c>
      <c r="H60" s="15"/>
      <c r="I60" s="265"/>
      <c r="J60" s="18">
        <f t="shared" ref="J60:J65" si="6">+N60-L60</f>
        <v>5501</v>
      </c>
      <c r="K60" s="265"/>
      <c r="L60" s="265">
        <v>1214</v>
      </c>
      <c r="M60" s="265"/>
      <c r="N60" s="265">
        <v>6715</v>
      </c>
      <c r="O60" s="15"/>
      <c r="P60" s="38"/>
      <c r="Q60" s="18">
        <f t="shared" ref="Q60:Q65" si="7">+U60-S60</f>
        <v>6327</v>
      </c>
      <c r="R60" s="265"/>
      <c r="S60" s="265">
        <f>2350-1198</f>
        <v>1152</v>
      </c>
      <c r="T60" s="265"/>
      <c r="U60" s="265">
        <f>14382-6903</f>
        <v>7479</v>
      </c>
      <c r="V60" s="15"/>
      <c r="W60" s="30"/>
      <c r="X60" s="18">
        <f t="shared" ref="X60:X65" si="8">+AB60-Z60</f>
        <v>5705</v>
      </c>
      <c r="Y60" s="265"/>
      <c r="Z60" s="30">
        <v>1198</v>
      </c>
      <c r="AA60" s="265"/>
      <c r="AB60" s="16">
        <v>6903</v>
      </c>
      <c r="AC60" s="15"/>
      <c r="AD60" s="30"/>
      <c r="AE60" s="329">
        <f t="shared" ref="AE60:AE65" si="9">+C60+J60+Q60+X60</f>
        <v>23028</v>
      </c>
      <c r="AF60" s="330"/>
      <c r="AG60" s="330">
        <f t="shared" ref="AG60:AG65" si="10">+E60+L60+S60+Z60</f>
        <v>4650</v>
      </c>
      <c r="AH60" s="330"/>
      <c r="AI60" s="330">
        <f t="shared" ref="AI60:AI65" si="11">+G60+N60+U60+AB60</f>
        <v>27678</v>
      </c>
      <c r="AJ60" s="331"/>
    </row>
    <row r="61" spans="1:38" ht="16.5" customHeight="1">
      <c r="A61" s="317" t="s">
        <v>547</v>
      </c>
      <c r="B61" s="50"/>
      <c r="C61" s="14">
        <v>176</v>
      </c>
      <c r="D61" s="123"/>
      <c r="E61" s="123">
        <v>0</v>
      </c>
      <c r="F61" s="123"/>
      <c r="G61" s="123">
        <v>176</v>
      </c>
      <c r="H61" s="12"/>
      <c r="I61" s="123"/>
      <c r="J61" s="18">
        <f t="shared" si="6"/>
        <v>165</v>
      </c>
      <c r="K61" s="123"/>
      <c r="L61" s="123"/>
      <c r="M61" s="123"/>
      <c r="N61" s="123">
        <v>165</v>
      </c>
      <c r="O61" s="12"/>
      <c r="P61" s="38"/>
      <c r="Q61" s="18">
        <f t="shared" si="7"/>
        <v>251</v>
      </c>
      <c r="R61" s="123"/>
      <c r="S61" s="123"/>
      <c r="T61" s="123"/>
      <c r="U61" s="123">
        <v>251</v>
      </c>
      <c r="V61" s="12"/>
      <c r="W61" s="30"/>
      <c r="X61" s="18">
        <f t="shared" si="8"/>
        <v>230</v>
      </c>
      <c r="Y61" s="123"/>
      <c r="Z61" s="30">
        <v>0</v>
      </c>
      <c r="AA61" s="123"/>
      <c r="AB61" s="267">
        <v>230</v>
      </c>
      <c r="AC61" s="12"/>
      <c r="AD61" s="30"/>
      <c r="AE61" s="18">
        <f t="shared" si="9"/>
        <v>822</v>
      </c>
      <c r="AF61" s="265"/>
      <c r="AG61" s="265">
        <f t="shared" si="10"/>
        <v>0</v>
      </c>
      <c r="AH61" s="265"/>
      <c r="AI61" s="265">
        <f t="shared" si="11"/>
        <v>822</v>
      </c>
      <c r="AJ61" s="12"/>
    </row>
    <row r="62" spans="1:38">
      <c r="A62" s="316" t="s">
        <v>548</v>
      </c>
      <c r="B62" s="217"/>
      <c r="C62" s="13">
        <f>+G62-E62</f>
        <v>53869</v>
      </c>
      <c r="D62" s="314"/>
      <c r="E62" s="314">
        <v>10267</v>
      </c>
      <c r="F62" s="314"/>
      <c r="G62" s="314">
        <f>63315+821</f>
        <v>64136</v>
      </c>
      <c r="H62" s="319"/>
      <c r="I62" s="314"/>
      <c r="J62" s="18">
        <f t="shared" si="6"/>
        <v>52055</v>
      </c>
      <c r="K62" s="314"/>
      <c r="L62" s="314">
        <v>11350</v>
      </c>
      <c r="M62" s="314"/>
      <c r="N62" s="314">
        <f>62672+733</f>
        <v>63405</v>
      </c>
      <c r="O62" s="319"/>
      <c r="P62" s="38"/>
      <c r="Q62" s="18">
        <f t="shared" si="7"/>
        <v>61597</v>
      </c>
      <c r="R62" s="314"/>
      <c r="S62" s="314">
        <f>22408-11477+14</f>
        <v>10945</v>
      </c>
      <c r="T62" s="314"/>
      <c r="U62" s="314">
        <f>137830+47-66433+1105-7</f>
        <v>72542</v>
      </c>
      <c r="V62" s="319"/>
      <c r="W62" s="30"/>
      <c r="X62" s="18">
        <f t="shared" si="8"/>
        <v>55970</v>
      </c>
      <c r="Y62" s="314"/>
      <c r="Z62" s="267">
        <f>11467+10</f>
        <v>11477</v>
      </c>
      <c r="AA62" s="314"/>
      <c r="AB62" s="267">
        <f>66408+1039</f>
        <v>67447</v>
      </c>
      <c r="AC62" s="319"/>
      <c r="AD62" s="30"/>
      <c r="AE62" s="18">
        <f t="shared" si="9"/>
        <v>223491</v>
      </c>
      <c r="AF62" s="265"/>
      <c r="AG62" s="265">
        <f t="shared" si="10"/>
        <v>44039</v>
      </c>
      <c r="AH62" s="265"/>
      <c r="AI62" s="265">
        <f t="shared" si="11"/>
        <v>267530</v>
      </c>
      <c r="AJ62" s="319"/>
      <c r="AK62">
        <v>263857</v>
      </c>
      <c r="AL62" s="338">
        <f>+AI62-AK62</f>
        <v>3673</v>
      </c>
    </row>
    <row r="63" spans="1:38">
      <c r="A63" s="106" t="s">
        <v>339</v>
      </c>
      <c r="B63" s="217"/>
      <c r="C63" s="13">
        <f>+G63-E63</f>
        <v>-53290</v>
      </c>
      <c r="D63" s="314"/>
      <c r="E63" s="314">
        <v>-11666</v>
      </c>
      <c r="F63" s="314"/>
      <c r="G63" s="314">
        <f>-64135-821</f>
        <v>-64956</v>
      </c>
      <c r="H63" s="319"/>
      <c r="I63" s="314"/>
      <c r="J63" s="18">
        <f t="shared" si="6"/>
        <v>-52787</v>
      </c>
      <c r="K63" s="314"/>
      <c r="L63" s="314">
        <v>-12762</v>
      </c>
      <c r="M63" s="314"/>
      <c r="N63" s="314">
        <f>-64762-733-54</f>
        <v>-65549</v>
      </c>
      <c r="O63" s="319"/>
      <c r="P63" s="38"/>
      <c r="Q63" s="18">
        <f t="shared" si="7"/>
        <v>-57798</v>
      </c>
      <c r="R63" s="314"/>
      <c r="S63" s="314">
        <f>-23118+11659</f>
        <v>-11459</v>
      </c>
      <c r="T63" s="314"/>
      <c r="U63" s="314">
        <f>-132594+99+42+64294-1105+7</f>
        <v>-69257</v>
      </c>
      <c r="V63" s="319"/>
      <c r="W63" s="30"/>
      <c r="X63" s="18">
        <f t="shared" si="8"/>
        <v>-53649</v>
      </c>
      <c r="Y63" s="314"/>
      <c r="Z63" s="267">
        <v>-11659</v>
      </c>
      <c r="AA63" s="314"/>
      <c r="AB63" s="267">
        <f>-65252-77+22-1</f>
        <v>-65308</v>
      </c>
      <c r="AC63" s="319"/>
      <c r="AD63" s="30"/>
      <c r="AE63" s="18">
        <f t="shared" si="9"/>
        <v>-217524</v>
      </c>
      <c r="AF63" s="265"/>
      <c r="AG63" s="265">
        <f t="shared" si="10"/>
        <v>-47546</v>
      </c>
      <c r="AH63" s="265"/>
      <c r="AI63" s="265">
        <f t="shared" si="11"/>
        <v>-265070</v>
      </c>
      <c r="AJ63" s="319"/>
      <c r="AK63">
        <v>-261397</v>
      </c>
      <c r="AL63" s="338">
        <f>+AI63-AK63</f>
        <v>-3673</v>
      </c>
    </row>
    <row r="64" spans="1:38" s="349" customFormat="1">
      <c r="A64" s="340" t="s">
        <v>532</v>
      </c>
      <c r="B64" s="341"/>
      <c r="C64" s="342">
        <f>+G64-E64</f>
        <v>0</v>
      </c>
      <c r="D64" s="343"/>
      <c r="E64" s="343">
        <v>2821</v>
      </c>
      <c r="F64" s="343"/>
      <c r="G64" s="343">
        <v>2821</v>
      </c>
      <c r="H64" s="344"/>
      <c r="I64" s="343"/>
      <c r="J64" s="345">
        <f t="shared" si="6"/>
        <v>0</v>
      </c>
      <c r="K64" s="343"/>
      <c r="L64" s="343">
        <v>-10817</v>
      </c>
      <c r="M64" s="343"/>
      <c r="N64" s="343">
        <v>-10817</v>
      </c>
      <c r="O64" s="344"/>
      <c r="P64" s="346"/>
      <c r="Q64" s="345">
        <f t="shared" si="7"/>
        <v>0</v>
      </c>
      <c r="R64" s="343"/>
      <c r="S64" s="343">
        <v>0</v>
      </c>
      <c r="T64" s="343"/>
      <c r="U64" s="343">
        <v>0</v>
      </c>
      <c r="V64" s="344"/>
      <c r="W64" s="340"/>
      <c r="X64" s="345">
        <f t="shared" si="8"/>
        <v>0</v>
      </c>
      <c r="Y64" s="343"/>
      <c r="Z64" s="347"/>
      <c r="AA64" s="343"/>
      <c r="AB64" s="347"/>
      <c r="AC64" s="344"/>
      <c r="AD64" s="340"/>
      <c r="AE64" s="345">
        <f t="shared" si="9"/>
        <v>0</v>
      </c>
      <c r="AF64" s="348"/>
      <c r="AG64" s="348">
        <f t="shared" si="10"/>
        <v>-7996</v>
      </c>
      <c r="AH64" s="348"/>
      <c r="AI64" s="348">
        <f t="shared" si="11"/>
        <v>-7996</v>
      </c>
      <c r="AJ64" s="344"/>
    </row>
    <row r="65" spans="1:36">
      <c r="A65" s="106" t="s">
        <v>341</v>
      </c>
      <c r="B65" s="221"/>
      <c r="C65" s="320">
        <f>+G65-E65</f>
        <v>289</v>
      </c>
      <c r="D65" s="299"/>
      <c r="E65" s="299">
        <v>17</v>
      </c>
      <c r="F65" s="299"/>
      <c r="G65" s="299">
        <v>306</v>
      </c>
      <c r="H65" s="321"/>
      <c r="I65" s="314"/>
      <c r="J65" s="322">
        <f t="shared" si="6"/>
        <v>131</v>
      </c>
      <c r="K65" s="299"/>
      <c r="L65" s="299">
        <v>0</v>
      </c>
      <c r="M65" s="299"/>
      <c r="N65" s="299">
        <v>131</v>
      </c>
      <c r="O65" s="321"/>
      <c r="P65" s="38"/>
      <c r="Q65" s="322">
        <f t="shared" si="7"/>
        <v>250</v>
      </c>
      <c r="R65" s="299"/>
      <c r="S65" s="299">
        <v>0</v>
      </c>
      <c r="T65" s="299"/>
      <c r="U65" s="299">
        <f>1086-836</f>
        <v>250</v>
      </c>
      <c r="V65" s="321"/>
      <c r="W65" s="30"/>
      <c r="X65" s="322">
        <f t="shared" si="8"/>
        <v>836</v>
      </c>
      <c r="Y65" s="299"/>
      <c r="Z65" s="299">
        <v>0</v>
      </c>
      <c r="AA65" s="299"/>
      <c r="AB65" s="299">
        <v>836</v>
      </c>
      <c r="AC65" s="321"/>
      <c r="AD65" s="30"/>
      <c r="AE65" s="322">
        <f t="shared" si="9"/>
        <v>1506</v>
      </c>
      <c r="AF65" s="323"/>
      <c r="AG65" s="323">
        <f t="shared" si="10"/>
        <v>17</v>
      </c>
      <c r="AH65" s="323"/>
      <c r="AI65" s="323">
        <f t="shared" si="11"/>
        <v>1523</v>
      </c>
      <c r="AJ65" s="321"/>
    </row>
    <row r="66" spans="1:36">
      <c r="A66" s="106" t="s">
        <v>342</v>
      </c>
      <c r="B66" s="219"/>
      <c r="C66" s="324">
        <f>SUM(C62:C65)</f>
        <v>868</v>
      </c>
      <c r="D66" s="278"/>
      <c r="E66" s="278">
        <f>SUM(E62:E65)</f>
        <v>1439</v>
      </c>
      <c r="F66" s="278"/>
      <c r="G66" s="278">
        <f>SUM(G62:G65)</f>
        <v>2307</v>
      </c>
      <c r="H66" s="325"/>
      <c r="I66" s="278"/>
      <c r="J66" s="324">
        <f>SUM(J62:J65)</f>
        <v>-601</v>
      </c>
      <c r="K66" s="278"/>
      <c r="L66" s="278">
        <f>SUM(L62:L65)</f>
        <v>-12229</v>
      </c>
      <c r="M66" s="278"/>
      <c r="N66" s="278">
        <f>SUM(N62:N65)</f>
        <v>-12830</v>
      </c>
      <c r="O66" s="325"/>
      <c r="P66" s="38"/>
      <c r="Q66" s="324">
        <f>SUM(Q62:Q65)</f>
        <v>4049</v>
      </c>
      <c r="R66" s="278"/>
      <c r="S66" s="278">
        <f>SUM(S62:S65)</f>
        <v>-514</v>
      </c>
      <c r="T66" s="278"/>
      <c r="U66" s="278">
        <f>SUM(U62:U65)</f>
        <v>3535</v>
      </c>
      <c r="V66" s="325"/>
      <c r="W66" s="30"/>
      <c r="X66" s="324">
        <f>SUM(X62:X65)</f>
        <v>3157</v>
      </c>
      <c r="Y66" s="278"/>
      <c r="Z66" s="300">
        <f>SUM(Z62:Z65)</f>
        <v>-182</v>
      </c>
      <c r="AA66" s="278"/>
      <c r="AB66" s="300">
        <f>SUM(AB62:AB65)</f>
        <v>2975</v>
      </c>
      <c r="AC66" s="325"/>
      <c r="AD66" s="30"/>
      <c r="AE66" s="332">
        <f>SUM(AE62:AE65)</f>
        <v>7473</v>
      </c>
      <c r="AF66" s="333"/>
      <c r="AG66" s="333">
        <f>SUM(AG62:AG65)</f>
        <v>-11486</v>
      </c>
      <c r="AH66" s="333"/>
      <c r="AI66" s="333">
        <f>SUM(AI62:AI65)</f>
        <v>-4013</v>
      </c>
      <c r="AJ66" s="334"/>
    </row>
    <row r="67" spans="1:36" ht="14.25" customHeight="1">
      <c r="A67" s="30" t="s">
        <v>343</v>
      </c>
      <c r="B67" s="217"/>
      <c r="C67" s="320">
        <v>-89</v>
      </c>
      <c r="D67" s="299"/>
      <c r="E67" s="299">
        <v>-12</v>
      </c>
      <c r="F67" s="299"/>
      <c r="G67" s="299">
        <v>-101</v>
      </c>
      <c r="H67" s="321"/>
      <c r="I67" s="314"/>
      <c r="J67" s="320">
        <f>+N67-L67</f>
        <v>-124</v>
      </c>
      <c r="K67" s="299"/>
      <c r="L67" s="299">
        <v>-14</v>
      </c>
      <c r="M67" s="299"/>
      <c r="N67" s="299">
        <v>-138</v>
      </c>
      <c r="O67" s="321"/>
      <c r="P67" s="38"/>
      <c r="Q67" s="320">
        <f>+U67-S67</f>
        <v>-124</v>
      </c>
      <c r="R67" s="299"/>
      <c r="S67" s="299">
        <f>-32+14</f>
        <v>-18</v>
      </c>
      <c r="T67" s="299"/>
      <c r="U67" s="299">
        <f>+-260+118</f>
        <v>-142</v>
      </c>
      <c r="V67" s="321"/>
      <c r="W67" s="30"/>
      <c r="X67" s="320">
        <f>+AB67-Z67</f>
        <v>-104</v>
      </c>
      <c r="Y67" s="299"/>
      <c r="Z67" s="299">
        <v>-14</v>
      </c>
      <c r="AA67" s="299"/>
      <c r="AB67" s="299">
        <v>-118</v>
      </c>
      <c r="AC67" s="321"/>
      <c r="AD67" s="30"/>
      <c r="AE67" s="322">
        <f>+C67+J67+Q67+X67</f>
        <v>-441</v>
      </c>
      <c r="AF67" s="323"/>
      <c r="AG67" s="323">
        <f>+E67+L67+S67+Z67</f>
        <v>-58</v>
      </c>
      <c r="AH67" s="323"/>
      <c r="AI67" s="323">
        <f>+G67+N67+U67+AB67</f>
        <v>-499</v>
      </c>
      <c r="AJ67" s="321"/>
    </row>
    <row r="68" spans="1:36">
      <c r="A68" s="30" t="s">
        <v>344</v>
      </c>
      <c r="B68" s="217"/>
      <c r="C68" s="13">
        <f>+C66+C67</f>
        <v>779</v>
      </c>
      <c r="D68" s="314"/>
      <c r="E68" s="314">
        <f>+E66+E67</f>
        <v>1427</v>
      </c>
      <c r="F68" s="314"/>
      <c r="G68" s="314">
        <f>+G66+G67</f>
        <v>2206</v>
      </c>
      <c r="H68" s="319"/>
      <c r="I68" s="314"/>
      <c r="J68" s="13">
        <f>+J66+J67</f>
        <v>-725</v>
      </c>
      <c r="K68" s="314"/>
      <c r="L68" s="314">
        <f>+L66+L67</f>
        <v>-12243</v>
      </c>
      <c r="M68" s="314"/>
      <c r="N68" s="314">
        <f>+N66+N67</f>
        <v>-12968</v>
      </c>
      <c r="O68" s="319"/>
      <c r="P68" s="38"/>
      <c r="Q68" s="13">
        <f>+Q66+Q67</f>
        <v>3925</v>
      </c>
      <c r="R68" s="314"/>
      <c r="S68" s="314">
        <f>+S66+S67</f>
        <v>-532</v>
      </c>
      <c r="T68" s="314"/>
      <c r="U68" s="314">
        <f>+U66+U67</f>
        <v>3393</v>
      </c>
      <c r="V68" s="319"/>
      <c r="W68" s="30"/>
      <c r="X68" s="13">
        <f>+X66+X67</f>
        <v>3053</v>
      </c>
      <c r="Y68" s="314"/>
      <c r="Z68" s="267">
        <f>SUM(Z66:Z67)</f>
        <v>-196</v>
      </c>
      <c r="AA68" s="314"/>
      <c r="AB68" s="267">
        <f>SUM(AB66:AB67)</f>
        <v>2857</v>
      </c>
      <c r="AC68" s="319"/>
      <c r="AD68" s="30"/>
      <c r="AE68" s="335">
        <f>+AE66+AE67</f>
        <v>7032</v>
      </c>
      <c r="AF68" s="336"/>
      <c r="AG68" s="336">
        <f>SUM(AG66:AG67)</f>
        <v>-11544</v>
      </c>
      <c r="AH68" s="336"/>
      <c r="AI68" s="336">
        <f>SUM(AI66:AI67)</f>
        <v>-4512</v>
      </c>
      <c r="AJ68" s="337"/>
    </row>
    <row r="69" spans="1:36">
      <c r="A69" s="30" t="s">
        <v>345</v>
      </c>
      <c r="B69" s="221"/>
      <c r="C69" s="320">
        <v>-585</v>
      </c>
      <c r="D69" s="299"/>
      <c r="E69" s="299">
        <v>0</v>
      </c>
      <c r="F69" s="299"/>
      <c r="G69" s="299">
        <v>-585</v>
      </c>
      <c r="H69" s="321"/>
      <c r="I69" s="314"/>
      <c r="J69" s="320">
        <f>+N69-L69</f>
        <v>100</v>
      </c>
      <c r="K69" s="299"/>
      <c r="L69" s="299">
        <v>0</v>
      </c>
      <c r="M69" s="299"/>
      <c r="N69" s="299">
        <v>100</v>
      </c>
      <c r="O69" s="321"/>
      <c r="P69" s="38"/>
      <c r="Q69" s="320">
        <f>+U69-S69</f>
        <v>-873</v>
      </c>
      <c r="R69" s="299"/>
      <c r="S69" s="299">
        <v>0</v>
      </c>
      <c r="T69" s="299"/>
      <c r="U69" s="299">
        <f>-1476+603</f>
        <v>-873</v>
      </c>
      <c r="V69" s="321"/>
      <c r="W69" s="30"/>
      <c r="X69" s="320">
        <f>+AB69-Z69</f>
        <v>-603</v>
      </c>
      <c r="Y69" s="299"/>
      <c r="Z69" s="299"/>
      <c r="AA69" s="299"/>
      <c r="AB69" s="299">
        <v>-603</v>
      </c>
      <c r="AC69" s="321"/>
      <c r="AD69" s="30"/>
      <c r="AE69" s="322">
        <f>+C69+J69+Q69+X69</f>
        <v>-1961</v>
      </c>
      <c r="AF69" s="323"/>
      <c r="AG69" s="323">
        <f>+E69+L69+S69+Z69</f>
        <v>0</v>
      </c>
      <c r="AH69" s="323"/>
      <c r="AI69" s="323">
        <f>+G69+N69+U69+AB69</f>
        <v>-1961</v>
      </c>
      <c r="AJ69" s="321"/>
    </row>
    <row r="70" spans="1:36">
      <c r="A70" s="30" t="s">
        <v>346</v>
      </c>
      <c r="B70" s="217"/>
      <c r="C70" s="13">
        <f>SUM(C68:C69)</f>
        <v>194</v>
      </c>
      <c r="D70" s="314"/>
      <c r="E70" s="314">
        <f>SUM(E68:E69)</f>
        <v>1427</v>
      </c>
      <c r="F70" s="314"/>
      <c r="G70" s="314">
        <f>SUM(G68:G69)</f>
        <v>1621</v>
      </c>
      <c r="H70" s="319"/>
      <c r="I70" s="314"/>
      <c r="J70" s="13">
        <f>SUM(J68:J69)</f>
        <v>-625</v>
      </c>
      <c r="K70" s="314"/>
      <c r="L70" s="314">
        <f>SUM(L68:L69)</f>
        <v>-12243</v>
      </c>
      <c r="M70" s="314"/>
      <c r="N70" s="314">
        <f>SUM(N68:N69)</f>
        <v>-12868</v>
      </c>
      <c r="O70" s="319"/>
      <c r="P70" s="38"/>
      <c r="Q70" s="13">
        <f>SUM(Q68:Q69)</f>
        <v>3052</v>
      </c>
      <c r="R70" s="314"/>
      <c r="S70" s="314">
        <f>SUM(S68:S69)</f>
        <v>-532</v>
      </c>
      <c r="T70" s="314"/>
      <c r="U70" s="314">
        <f>SUM(U68:U69)</f>
        <v>2520</v>
      </c>
      <c r="V70" s="319"/>
      <c r="W70" s="30"/>
      <c r="X70" s="13">
        <f>SUM(X68:X69)</f>
        <v>2450</v>
      </c>
      <c r="Y70" s="314"/>
      <c r="Z70" s="267">
        <f>SUM(Z68:Z69)</f>
        <v>-196</v>
      </c>
      <c r="AA70" s="314"/>
      <c r="AB70" s="267">
        <f>SUM(AB68:AB69)</f>
        <v>2254</v>
      </c>
      <c r="AC70" s="319"/>
      <c r="AD70" s="30"/>
      <c r="AE70" s="335">
        <f>SUM(AE68:AE69)</f>
        <v>5071</v>
      </c>
      <c r="AF70" s="336"/>
      <c r="AG70" s="336">
        <f>SUM(AG68:AG69)</f>
        <v>-11544</v>
      </c>
      <c r="AH70" s="336"/>
      <c r="AI70" s="336">
        <f>SUM(AI68:AI69)</f>
        <v>-6473</v>
      </c>
      <c r="AJ70" s="337"/>
    </row>
    <row r="71" spans="1:36">
      <c r="A71" s="30" t="s">
        <v>347</v>
      </c>
      <c r="B71" s="221"/>
      <c r="C71" s="320">
        <v>-229.30612244897964</v>
      </c>
      <c r="D71" s="299"/>
      <c r="E71" s="299">
        <v>0</v>
      </c>
      <c r="F71" s="299"/>
      <c r="G71" s="299">
        <v>-229.30612244897964</v>
      </c>
      <c r="H71" s="321"/>
      <c r="I71" s="314"/>
      <c r="J71" s="320">
        <f>+N71-L71</f>
        <v>33</v>
      </c>
      <c r="K71" s="299"/>
      <c r="L71" s="299">
        <v>0</v>
      </c>
      <c r="M71" s="299"/>
      <c r="N71" s="299">
        <v>33</v>
      </c>
      <c r="O71" s="321"/>
      <c r="P71" s="38"/>
      <c r="Q71" s="320">
        <f>+U71-S71</f>
        <v>-455</v>
      </c>
      <c r="R71" s="299"/>
      <c r="S71" s="299">
        <v>0</v>
      </c>
      <c r="T71" s="299"/>
      <c r="U71" s="299">
        <f>-984+529</f>
        <v>-455</v>
      </c>
      <c r="V71" s="321"/>
      <c r="W71" s="30"/>
      <c r="X71" s="320">
        <f>+AB71-Z71</f>
        <v>-529</v>
      </c>
      <c r="Y71" s="299"/>
      <c r="Z71" s="299">
        <v>0</v>
      </c>
      <c r="AA71" s="299"/>
      <c r="AB71" s="299">
        <v>-529</v>
      </c>
      <c r="AC71" s="321"/>
      <c r="AD71" s="30"/>
      <c r="AE71" s="322">
        <f>+C71+J71+Q71+X71</f>
        <v>-1180.3061224489797</v>
      </c>
      <c r="AF71" s="323"/>
      <c r="AG71" s="323">
        <f>+E71+L71+S71+Z71</f>
        <v>0</v>
      </c>
      <c r="AH71" s="323"/>
      <c r="AI71" s="323">
        <f>+G71+N71+U71+AB71</f>
        <v>-1180.3061224489797</v>
      </c>
      <c r="AJ71" s="321"/>
    </row>
    <row r="72" spans="1:36">
      <c r="A72" s="30" t="s">
        <v>348</v>
      </c>
      <c r="B72" s="217"/>
      <c r="C72" s="13">
        <f>SUM(C70:C71)</f>
        <v>-35.306122448979636</v>
      </c>
      <c r="D72" s="314"/>
      <c r="E72" s="314">
        <f>SUM(E70:E71)</f>
        <v>1427</v>
      </c>
      <c r="F72" s="314"/>
      <c r="G72" s="314">
        <f>SUM(G70:G71)</f>
        <v>1391.6938775510203</v>
      </c>
      <c r="H72" s="319"/>
      <c r="I72" s="314"/>
      <c r="J72" s="13">
        <f>SUM(J70:J71)</f>
        <v>-592</v>
      </c>
      <c r="K72" s="314"/>
      <c r="L72" s="314">
        <f>SUM(L70:L71)</f>
        <v>-12243</v>
      </c>
      <c r="M72" s="314"/>
      <c r="N72" s="314">
        <f>SUM(N70:N71)</f>
        <v>-12835</v>
      </c>
      <c r="O72" s="319"/>
      <c r="P72" s="38"/>
      <c r="Q72" s="13">
        <f>SUM(Q70:Q71)</f>
        <v>2597</v>
      </c>
      <c r="R72" s="314"/>
      <c r="S72" s="314">
        <f>SUM(S70:S71)</f>
        <v>-532</v>
      </c>
      <c r="T72" s="314"/>
      <c r="U72" s="314">
        <f>SUM(U70:U71)</f>
        <v>2065</v>
      </c>
      <c r="V72" s="319"/>
      <c r="W72" s="30"/>
      <c r="X72" s="13">
        <f>SUM(X70:X71)</f>
        <v>1921</v>
      </c>
      <c r="Y72" s="314"/>
      <c r="Z72" s="267">
        <f>SUM(Z70:Z71)</f>
        <v>-196</v>
      </c>
      <c r="AA72" s="314"/>
      <c r="AB72" s="267">
        <f>SUM(AB70:AB71)</f>
        <v>1725</v>
      </c>
      <c r="AC72" s="319"/>
      <c r="AD72" s="30"/>
      <c r="AE72" s="335">
        <f>SUM(AE70:AE71)</f>
        <v>3890.6938775510203</v>
      </c>
      <c r="AF72" s="336"/>
      <c r="AG72" s="336">
        <f>SUM(AG70:AG71)</f>
        <v>-11544</v>
      </c>
      <c r="AH72" s="336"/>
      <c r="AI72" s="336">
        <f>SUM(AI70:AI71)</f>
        <v>-7653.3061224489793</v>
      </c>
      <c r="AJ72" s="337"/>
    </row>
    <row r="73" spans="1:36">
      <c r="A73" s="25"/>
      <c r="B73" s="218"/>
      <c r="C73" s="320"/>
      <c r="D73" s="299"/>
      <c r="E73" s="299"/>
      <c r="F73" s="299"/>
      <c r="G73" s="299"/>
      <c r="H73" s="319"/>
      <c r="I73" s="314"/>
      <c r="J73" s="320"/>
      <c r="K73" s="299"/>
      <c r="L73" s="299"/>
      <c r="M73" s="299"/>
      <c r="N73" s="299"/>
      <c r="O73" s="319"/>
      <c r="P73" s="38"/>
      <c r="Q73" s="320"/>
      <c r="R73" s="299"/>
      <c r="S73" s="299"/>
      <c r="T73" s="299"/>
      <c r="U73" s="299"/>
      <c r="V73" s="319"/>
      <c r="W73" s="30"/>
      <c r="X73" s="326"/>
      <c r="Y73" s="327"/>
      <c r="Z73" s="327"/>
      <c r="AA73" s="327"/>
      <c r="AB73" s="327"/>
      <c r="AC73" s="328"/>
      <c r="AD73" s="30"/>
      <c r="AE73" s="320"/>
      <c r="AF73" s="299"/>
      <c r="AG73" s="299"/>
      <c r="AH73" s="299"/>
      <c r="AI73" s="299"/>
      <c r="AJ73" s="321"/>
    </row>
    <row r="74" spans="1:36">
      <c r="C74" s="285"/>
      <c r="D74" s="38"/>
      <c r="E74" s="38"/>
      <c r="F74" s="38"/>
      <c r="G74" s="38"/>
      <c r="H74" s="193"/>
      <c r="I74" s="38"/>
      <c r="J74" s="285"/>
      <c r="K74" s="38"/>
      <c r="L74" s="38"/>
      <c r="M74" s="38"/>
      <c r="N74" s="38"/>
      <c r="O74" s="193"/>
      <c r="P74" s="38"/>
      <c r="Q74" s="285"/>
      <c r="R74" s="38"/>
      <c r="S74" s="38"/>
      <c r="T74" s="38"/>
      <c r="U74" s="38"/>
      <c r="V74" s="193"/>
      <c r="W74" s="30"/>
      <c r="X74" s="285"/>
      <c r="Y74" s="38"/>
      <c r="Z74" s="38"/>
      <c r="AA74" s="38"/>
      <c r="AB74" s="30"/>
      <c r="AC74" s="193"/>
      <c r="AD74" s="30"/>
      <c r="AE74" s="285"/>
      <c r="AF74" s="38"/>
      <c r="AG74" s="38"/>
      <c r="AH74" s="38"/>
      <c r="AI74" s="38"/>
      <c r="AJ74" s="193"/>
    </row>
    <row r="75" spans="1:36">
      <c r="A75" t="s">
        <v>549</v>
      </c>
      <c r="C75" s="290">
        <v>821</v>
      </c>
      <c r="D75" s="264"/>
      <c r="E75" s="264"/>
      <c r="F75" s="264"/>
      <c r="G75" s="264">
        <v>821</v>
      </c>
      <c r="H75" s="196"/>
      <c r="I75" s="38"/>
      <c r="J75" s="290">
        <v>733</v>
      </c>
      <c r="K75" s="264"/>
      <c r="L75" s="264"/>
      <c r="M75" s="264"/>
      <c r="N75" s="264">
        <v>733</v>
      </c>
      <c r="O75" s="196"/>
      <c r="P75" s="38"/>
      <c r="Q75" s="290">
        <v>1105</v>
      </c>
      <c r="R75" s="264"/>
      <c r="S75" s="264"/>
      <c r="T75" s="264"/>
      <c r="U75" s="264">
        <v>1105</v>
      </c>
      <c r="V75" s="196"/>
      <c r="W75" s="30"/>
      <c r="X75" s="290">
        <v>1105</v>
      </c>
      <c r="Y75" s="264"/>
      <c r="Z75" s="264"/>
      <c r="AA75" s="264"/>
      <c r="AB75" s="299">
        <v>1014</v>
      </c>
      <c r="AC75" s="196"/>
      <c r="AD75" s="30"/>
      <c r="AE75" s="322">
        <f>+C75+J75+Q75+X75</f>
        <v>3764</v>
      </c>
      <c r="AF75" s="323"/>
      <c r="AG75" s="323">
        <f>+E75+L75+S75+Z75</f>
        <v>0</v>
      </c>
      <c r="AH75" s="323"/>
      <c r="AI75" s="323">
        <f>+G75+N75+U75+AB75</f>
        <v>3673</v>
      </c>
      <c r="AJ75" s="196"/>
    </row>
  </sheetData>
  <phoneticPr fontId="0" type="noConversion"/>
  <pageMargins left="0.26" right="0.28999999999999998" top="1" bottom="1" header="0.5" footer="0.5"/>
  <pageSetup scale="48" orientation="landscape" blackAndWhite="1" horizontalDpi="1200" verticalDpi="1200" r:id="rId1"/>
  <headerFooter alignWithMargins="0">
    <oddFooter>&amp;L&amp;D&amp;F&amp;A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BM78"/>
  <sheetViews>
    <sheetView workbookViewId="0"/>
  </sheetViews>
  <sheetFormatPr defaultRowHeight="12.75"/>
  <cols>
    <col min="1" max="1" width="34.7109375" customWidth="1"/>
    <col min="2" max="2" width="13" customWidth="1"/>
    <col min="3" max="6" width="12.5703125" customWidth="1"/>
    <col min="7" max="7" width="13.42578125" customWidth="1"/>
    <col min="8" max="8" width="2.7109375" customWidth="1"/>
    <col min="9" max="9" width="12" customWidth="1"/>
    <col min="10" max="10" width="11.42578125" customWidth="1"/>
    <col min="11" max="13" width="13" customWidth="1"/>
    <col min="14" max="14" width="11.140625" customWidth="1"/>
    <col min="15" max="15" width="2.7109375" customWidth="1"/>
    <col min="20" max="21" width="11.140625" customWidth="1"/>
    <col min="22" max="22" width="2.7109375" customWidth="1"/>
    <col min="29" max="29" width="2.7109375" customWidth="1"/>
    <col min="30" max="30" width="16.7109375" customWidth="1"/>
    <col min="31" max="31" width="2.7109375" customWidth="1"/>
    <col min="32" max="32" width="16.7109375" customWidth="1"/>
    <col min="33" max="33" width="2.7109375" customWidth="1"/>
    <col min="34" max="35" width="8.7109375" customWidth="1"/>
    <col min="36" max="36" width="2.7109375" style="116" customWidth="1"/>
    <col min="37" max="42" width="8.7109375" style="116" customWidth="1"/>
    <col min="43" max="43" width="2.7109375" style="116" customWidth="1"/>
    <col min="44" max="47" width="8.7109375" style="116" customWidth="1"/>
    <col min="48" max="49" width="8.7109375" customWidth="1"/>
    <col min="50" max="50" width="2.7109375" customWidth="1"/>
    <col min="51" max="56" width="8.7109375" customWidth="1"/>
    <col min="57" max="57" width="2.7109375" customWidth="1"/>
    <col min="58" max="63" width="9.7109375" customWidth="1"/>
  </cols>
  <sheetData>
    <row r="1" spans="1:65" ht="12.75" customHeight="1">
      <c r="A1" s="25" t="s">
        <v>527</v>
      </c>
      <c r="B1" s="25"/>
      <c r="C1" s="25"/>
      <c r="D1" s="25"/>
      <c r="E1" s="25"/>
      <c r="F1" s="25"/>
      <c r="G1" s="25"/>
      <c r="H1" s="25"/>
    </row>
    <row r="2" spans="1:65" ht="12.75" customHeight="1">
      <c r="A2" s="25"/>
      <c r="B2" s="25"/>
      <c r="C2" s="25"/>
      <c r="D2" s="25"/>
      <c r="E2" s="25"/>
      <c r="F2" s="25"/>
      <c r="G2" s="25"/>
      <c r="H2" s="25"/>
    </row>
    <row r="3" spans="1:65" ht="12.75" customHeight="1" thickBot="1">
      <c r="A3" s="25"/>
      <c r="H3" s="25"/>
      <c r="I3" s="25" t="s">
        <v>429</v>
      </c>
      <c r="J3" s="25"/>
      <c r="K3" s="25"/>
      <c r="L3" s="25" t="s">
        <v>420</v>
      </c>
      <c r="M3" s="25"/>
      <c r="N3" s="25"/>
      <c r="O3" s="25"/>
      <c r="P3" s="25" t="s">
        <v>428</v>
      </c>
      <c r="Q3" s="25"/>
      <c r="R3" s="25"/>
      <c r="S3" s="25" t="s">
        <v>420</v>
      </c>
      <c r="T3" s="25"/>
      <c r="U3" s="25"/>
      <c r="V3" s="25"/>
      <c r="W3" s="25" t="s">
        <v>427</v>
      </c>
      <c r="X3" s="25"/>
      <c r="Y3" s="25"/>
      <c r="Z3" s="25" t="s">
        <v>420</v>
      </c>
      <c r="AA3" s="25"/>
      <c r="AB3" s="25"/>
      <c r="AC3" s="25"/>
      <c r="AD3" s="204" t="s">
        <v>488</v>
      </c>
      <c r="AE3" s="284"/>
      <c r="AF3" s="284" t="s">
        <v>550</v>
      </c>
      <c r="AG3" s="284"/>
      <c r="AH3" s="284"/>
      <c r="AI3" s="195"/>
      <c r="AJ3" s="38"/>
      <c r="AK3" s="204" t="s">
        <v>487</v>
      </c>
      <c r="AL3" s="284"/>
      <c r="AM3" s="284" t="s">
        <v>550</v>
      </c>
      <c r="AN3" s="284"/>
      <c r="AO3" s="284"/>
      <c r="AP3" s="195"/>
      <c r="AQ3" s="38"/>
      <c r="AR3" s="204" t="s">
        <v>486</v>
      </c>
      <c r="AS3" s="284"/>
      <c r="AT3" s="284" t="s">
        <v>550</v>
      </c>
      <c r="AU3" s="284"/>
      <c r="AV3" s="284"/>
      <c r="AW3" s="195"/>
      <c r="AX3" s="30"/>
      <c r="AY3" s="204" t="s">
        <v>485</v>
      </c>
      <c r="AZ3" s="284"/>
      <c r="BA3" s="284" t="s">
        <v>550</v>
      </c>
      <c r="BB3" s="284"/>
      <c r="BC3" s="284"/>
      <c r="BD3" s="195"/>
      <c r="BE3" s="30"/>
      <c r="BF3" s="204" t="s">
        <v>553</v>
      </c>
      <c r="BG3" s="284"/>
      <c r="BH3" s="284" t="s">
        <v>550</v>
      </c>
      <c r="BI3" s="284"/>
      <c r="BJ3" s="284"/>
      <c r="BK3" s="195"/>
    </row>
    <row r="4" spans="1:65" ht="12.75" customHeight="1">
      <c r="A4" s="25"/>
      <c r="B4" s="294" t="s">
        <v>528</v>
      </c>
      <c r="C4" s="295"/>
      <c r="D4" s="294" t="s">
        <v>529</v>
      </c>
      <c r="E4" s="295"/>
      <c r="F4" s="294" t="s">
        <v>530</v>
      </c>
      <c r="G4" s="295"/>
      <c r="I4" s="294" t="s">
        <v>528</v>
      </c>
      <c r="J4" s="295"/>
      <c r="K4" s="294" t="s">
        <v>529</v>
      </c>
      <c r="L4" s="295"/>
      <c r="M4" s="294" t="s">
        <v>530</v>
      </c>
      <c r="N4" s="295"/>
      <c r="O4" s="201"/>
      <c r="P4" s="294" t="s">
        <v>528</v>
      </c>
      <c r="Q4" s="295"/>
      <c r="R4" s="294" t="s">
        <v>529</v>
      </c>
      <c r="S4" s="295"/>
      <c r="T4" s="294" t="s">
        <v>530</v>
      </c>
      <c r="U4" s="295"/>
      <c r="V4" s="201"/>
      <c r="W4" s="294" t="s">
        <v>528</v>
      </c>
      <c r="X4" s="295"/>
      <c r="Y4" s="294" t="s">
        <v>529</v>
      </c>
      <c r="Z4" s="295"/>
      <c r="AA4" s="294" t="s">
        <v>530</v>
      </c>
      <c r="AB4" s="295"/>
      <c r="AC4" s="201"/>
      <c r="AD4" s="194" t="s">
        <v>528</v>
      </c>
      <c r="AE4" s="284"/>
      <c r="AF4" s="284" t="s">
        <v>529</v>
      </c>
      <c r="AG4" s="284"/>
      <c r="AH4" s="284" t="s">
        <v>530</v>
      </c>
      <c r="AI4" s="195"/>
      <c r="AJ4" s="38"/>
      <c r="AK4" s="194" t="s">
        <v>528</v>
      </c>
      <c r="AL4" s="284"/>
      <c r="AM4" s="284" t="s">
        <v>529</v>
      </c>
      <c r="AN4" s="284"/>
      <c r="AO4" s="284" t="s">
        <v>530</v>
      </c>
      <c r="AP4" s="195"/>
      <c r="AQ4" s="38"/>
      <c r="AR4" s="194" t="s">
        <v>528</v>
      </c>
      <c r="AS4" s="284"/>
      <c r="AT4" s="284" t="s">
        <v>529</v>
      </c>
      <c r="AU4" s="284"/>
      <c r="AV4" s="284" t="s">
        <v>530</v>
      </c>
      <c r="AW4" s="195"/>
      <c r="AX4" s="30"/>
      <c r="AY4" s="194" t="s">
        <v>528</v>
      </c>
      <c r="AZ4" s="284"/>
      <c r="BA4" s="284" t="s">
        <v>529</v>
      </c>
      <c r="BB4" s="284"/>
      <c r="BC4" s="284" t="s">
        <v>530</v>
      </c>
      <c r="BD4" s="195"/>
      <c r="BE4" s="30"/>
      <c r="BF4" s="194" t="s">
        <v>528</v>
      </c>
      <c r="BG4" s="284"/>
      <c r="BH4" s="284" t="s">
        <v>529</v>
      </c>
      <c r="BI4" s="284"/>
      <c r="BJ4" s="284" t="s">
        <v>554</v>
      </c>
      <c r="BK4" s="195"/>
    </row>
    <row r="5" spans="1:65" ht="12.75" customHeight="1">
      <c r="A5" s="25"/>
      <c r="B5" s="296" t="s">
        <v>591</v>
      </c>
      <c r="C5" s="297"/>
      <c r="D5" s="296" t="s">
        <v>591</v>
      </c>
      <c r="E5" s="297"/>
      <c r="F5" s="296" t="s">
        <v>332</v>
      </c>
      <c r="G5" s="297"/>
      <c r="I5" s="296" t="s">
        <v>551</v>
      </c>
      <c r="J5" s="297"/>
      <c r="K5" s="296" t="s">
        <v>551</v>
      </c>
      <c r="L5" s="297"/>
      <c r="M5" s="296" t="s">
        <v>523</v>
      </c>
      <c r="N5" s="297"/>
      <c r="O5" s="201"/>
      <c r="P5" s="296" t="s">
        <v>552</v>
      </c>
      <c r="Q5" s="297"/>
      <c r="R5" s="296" t="s">
        <v>552</v>
      </c>
      <c r="S5" s="297"/>
      <c r="T5" s="296" t="s">
        <v>579</v>
      </c>
      <c r="U5" s="297"/>
      <c r="V5" s="201"/>
      <c r="W5" s="296" t="s">
        <v>544</v>
      </c>
      <c r="X5" s="297"/>
      <c r="Y5" s="296" t="s">
        <v>544</v>
      </c>
      <c r="Z5" s="297"/>
      <c r="AA5" s="296" t="s">
        <v>544</v>
      </c>
      <c r="AB5" s="297"/>
      <c r="AC5" s="201"/>
      <c r="AD5" s="285" t="s">
        <v>546</v>
      </c>
      <c r="AE5" s="38"/>
      <c r="AF5" s="38" t="s">
        <v>546</v>
      </c>
      <c r="AG5" s="38"/>
      <c r="AH5" s="38" t="s">
        <v>546</v>
      </c>
      <c r="AI5" s="193"/>
      <c r="AJ5" s="38"/>
      <c r="AK5" s="285" t="s">
        <v>551</v>
      </c>
      <c r="AL5" s="38"/>
      <c r="AM5" s="38" t="s">
        <v>551</v>
      </c>
      <c r="AN5" s="38"/>
      <c r="AO5" s="38" t="s">
        <v>551</v>
      </c>
      <c r="AP5" s="193"/>
      <c r="AQ5" s="38"/>
      <c r="AR5" s="285" t="s">
        <v>552</v>
      </c>
      <c r="AS5" s="38"/>
      <c r="AT5" s="38" t="s">
        <v>552</v>
      </c>
      <c r="AU5" s="38"/>
      <c r="AV5" s="38" t="s">
        <v>552</v>
      </c>
      <c r="AW5" s="193"/>
      <c r="AX5" s="30"/>
      <c r="AY5" s="285" t="s">
        <v>544</v>
      </c>
      <c r="AZ5" s="38"/>
      <c r="BA5" s="38" t="s">
        <v>544</v>
      </c>
      <c r="BB5" s="38"/>
      <c r="BC5" s="38" t="s">
        <v>544</v>
      </c>
      <c r="BD5" s="193"/>
      <c r="BE5" s="30"/>
      <c r="BF5" s="285"/>
      <c r="BG5" s="38"/>
      <c r="BH5" s="38"/>
      <c r="BI5" s="38"/>
      <c r="BJ5" s="38"/>
      <c r="BK5" s="193"/>
    </row>
    <row r="6" spans="1:65" ht="12.75" customHeight="1">
      <c r="A6" s="25"/>
      <c r="B6" s="206">
        <v>2004</v>
      </c>
      <c r="C6" s="209">
        <v>2003</v>
      </c>
      <c r="D6" s="206">
        <v>2004</v>
      </c>
      <c r="E6" s="209">
        <v>2003</v>
      </c>
      <c r="F6" s="206">
        <v>2004</v>
      </c>
      <c r="G6" s="209">
        <v>2003</v>
      </c>
      <c r="I6" s="206">
        <v>2004</v>
      </c>
      <c r="J6" s="209">
        <v>2003</v>
      </c>
      <c r="K6" s="206">
        <v>2004</v>
      </c>
      <c r="L6" s="209">
        <v>2003</v>
      </c>
      <c r="M6" s="206">
        <v>2004</v>
      </c>
      <c r="N6" s="209">
        <v>2003</v>
      </c>
      <c r="O6" s="208"/>
      <c r="P6" s="206">
        <v>2004</v>
      </c>
      <c r="Q6" s="209">
        <v>2003</v>
      </c>
      <c r="R6" s="206">
        <v>2004</v>
      </c>
      <c r="S6" s="209">
        <v>2003</v>
      </c>
      <c r="T6" s="206">
        <v>2004</v>
      </c>
      <c r="U6" s="209">
        <v>2003</v>
      </c>
      <c r="V6" s="208"/>
      <c r="W6" s="206">
        <v>2004</v>
      </c>
      <c r="X6" s="209">
        <v>2003</v>
      </c>
      <c r="Y6" s="206">
        <v>2004</v>
      </c>
      <c r="Z6" s="209">
        <v>2003</v>
      </c>
      <c r="AA6" s="206">
        <v>2004</v>
      </c>
      <c r="AB6" s="209">
        <v>2003</v>
      </c>
      <c r="AC6" s="208"/>
      <c r="AD6" s="318">
        <v>2003</v>
      </c>
      <c r="AE6" s="197"/>
      <c r="AF6" s="291">
        <v>2003</v>
      </c>
      <c r="AG6" s="197"/>
      <c r="AH6" s="291">
        <v>2003</v>
      </c>
      <c r="AI6" s="292"/>
      <c r="AJ6" s="197"/>
      <c r="AK6" s="318">
        <v>2003</v>
      </c>
      <c r="AL6" s="197"/>
      <c r="AM6" s="291">
        <v>2003</v>
      </c>
      <c r="AN6" s="197"/>
      <c r="AO6" s="291">
        <v>2003</v>
      </c>
      <c r="AP6" s="292"/>
      <c r="AQ6" s="38"/>
      <c r="AR6" s="318">
        <v>2003</v>
      </c>
      <c r="AS6" s="197"/>
      <c r="AT6" s="291">
        <v>2003</v>
      </c>
      <c r="AU6" s="197"/>
      <c r="AV6" s="291">
        <v>2003</v>
      </c>
      <c r="AW6" s="292"/>
      <c r="AX6" s="30"/>
      <c r="AY6" s="318">
        <v>2003</v>
      </c>
      <c r="AZ6" s="197"/>
      <c r="BA6" s="291">
        <v>2003</v>
      </c>
      <c r="BB6" s="197"/>
      <c r="BC6" s="291">
        <v>2003</v>
      </c>
      <c r="BD6" s="292"/>
      <c r="BE6" s="30"/>
      <c r="BF6" s="318">
        <v>2003</v>
      </c>
      <c r="BG6" s="197"/>
      <c r="BH6" s="291">
        <v>2003</v>
      </c>
      <c r="BI6" s="197"/>
      <c r="BJ6" s="291">
        <v>2003</v>
      </c>
      <c r="BK6" s="292"/>
    </row>
    <row r="7" spans="1:65" ht="12.75" customHeight="1" thickBot="1">
      <c r="A7" s="298" t="s">
        <v>531</v>
      </c>
      <c r="B7" s="211" t="s">
        <v>329</v>
      </c>
      <c r="C7" s="213" t="s">
        <v>329</v>
      </c>
      <c r="D7" s="211" t="s">
        <v>329</v>
      </c>
      <c r="E7" s="213" t="s">
        <v>329</v>
      </c>
      <c r="F7" s="211" t="s">
        <v>329</v>
      </c>
      <c r="G7" s="213" t="s">
        <v>329</v>
      </c>
      <c r="I7" s="211" t="s">
        <v>329</v>
      </c>
      <c r="J7" s="213" t="s">
        <v>329</v>
      </c>
      <c r="K7" s="211" t="s">
        <v>329</v>
      </c>
      <c r="L7" s="213" t="s">
        <v>329</v>
      </c>
      <c r="M7" s="211" t="s">
        <v>329</v>
      </c>
      <c r="N7" s="213" t="s">
        <v>329</v>
      </c>
      <c r="O7" s="283"/>
      <c r="P7" s="211" t="s">
        <v>329</v>
      </c>
      <c r="Q7" s="213" t="s">
        <v>329</v>
      </c>
      <c r="R7" s="211" t="s">
        <v>329</v>
      </c>
      <c r="S7" s="213" t="s">
        <v>329</v>
      </c>
      <c r="T7" s="211" t="s">
        <v>329</v>
      </c>
      <c r="U7" s="213" t="s">
        <v>329</v>
      </c>
      <c r="V7" s="283"/>
      <c r="W7" s="211" t="s">
        <v>329</v>
      </c>
      <c r="X7" s="213" t="s">
        <v>329</v>
      </c>
      <c r="Y7" s="211" t="s">
        <v>329</v>
      </c>
      <c r="Z7" s="213" t="s">
        <v>329</v>
      </c>
      <c r="AA7" s="211" t="s">
        <v>329</v>
      </c>
      <c r="AB7" s="213" t="s">
        <v>329</v>
      </c>
      <c r="AC7" s="283"/>
      <c r="AD7" s="293" t="s">
        <v>329</v>
      </c>
      <c r="AE7" s="41"/>
      <c r="AF7" s="41" t="s">
        <v>329</v>
      </c>
      <c r="AG7" s="41"/>
      <c r="AH7" s="41" t="s">
        <v>329</v>
      </c>
      <c r="AI7" s="42"/>
      <c r="AJ7" s="17"/>
      <c r="AK7" s="293" t="s">
        <v>329</v>
      </c>
      <c r="AL7" s="41"/>
      <c r="AM7" s="41" t="s">
        <v>329</v>
      </c>
      <c r="AN7" s="41"/>
      <c r="AO7" s="41" t="s">
        <v>329</v>
      </c>
      <c r="AP7" s="42"/>
      <c r="AQ7" s="38"/>
      <c r="AR7" s="293" t="s">
        <v>329</v>
      </c>
      <c r="AS7" s="41"/>
      <c r="AT7" s="41" t="s">
        <v>329</v>
      </c>
      <c r="AU7" s="41"/>
      <c r="AV7" s="41" t="s">
        <v>329</v>
      </c>
      <c r="AW7" s="42"/>
      <c r="AX7" s="30"/>
      <c r="AY7" s="293" t="s">
        <v>329</v>
      </c>
      <c r="AZ7" s="41"/>
      <c r="BA7" s="41" t="s">
        <v>329</v>
      </c>
      <c r="BB7" s="41"/>
      <c r="BC7" s="41" t="s">
        <v>329</v>
      </c>
      <c r="BD7" s="42"/>
      <c r="BE7" s="30"/>
      <c r="BF7" s="293" t="s">
        <v>329</v>
      </c>
      <c r="BG7" s="41"/>
      <c r="BH7" s="41" t="s">
        <v>329</v>
      </c>
      <c r="BI7" s="41"/>
      <c r="BJ7" s="41" t="s">
        <v>329</v>
      </c>
      <c r="BK7" s="42"/>
    </row>
    <row r="8" spans="1:65" ht="12.75" customHeight="1">
      <c r="A8" s="50" t="s">
        <v>338</v>
      </c>
      <c r="B8" s="217">
        <f>+F8-W8-P8-I8</f>
        <v>5717</v>
      </c>
      <c r="C8" s="314">
        <f t="shared" ref="C8:C13" si="0">+G8-N8-E8</f>
        <v>5495</v>
      </c>
      <c r="D8" s="182"/>
      <c r="E8" s="380">
        <v>1086</v>
      </c>
      <c r="F8" s="372">
        <v>24894</v>
      </c>
      <c r="G8" s="16">
        <v>27678</v>
      </c>
      <c r="I8" s="372">
        <v>6087</v>
      </c>
      <c r="J8" s="267">
        <v>5501</v>
      </c>
      <c r="L8" s="182">
        <v>1214</v>
      </c>
      <c r="M8" s="372">
        <v>19177</v>
      </c>
      <c r="N8" s="16">
        <v>21097</v>
      </c>
      <c r="O8" s="215"/>
      <c r="P8" s="372">
        <v>6413</v>
      </c>
      <c r="Q8" s="267">
        <v>6327</v>
      </c>
      <c r="R8" s="372"/>
      <c r="S8" s="182">
        <v>1152</v>
      </c>
      <c r="T8" s="372">
        <v>13090</v>
      </c>
      <c r="U8" s="16">
        <v>14382</v>
      </c>
      <c r="V8" s="215"/>
      <c r="W8" s="372">
        <v>6677</v>
      </c>
      <c r="X8" s="267">
        <f>+AB8-Z8</f>
        <v>5705</v>
      </c>
      <c r="Y8" s="372"/>
      <c r="Z8" s="182">
        <v>1198</v>
      </c>
      <c r="AA8" s="372">
        <v>6677</v>
      </c>
      <c r="AB8" s="16">
        <v>6903</v>
      </c>
      <c r="AC8" s="215"/>
      <c r="AD8" s="379">
        <v>5495</v>
      </c>
      <c r="AE8" s="380"/>
      <c r="AF8" s="380">
        <v>1086</v>
      </c>
      <c r="AG8" s="380"/>
      <c r="AH8" s="380">
        <v>6581</v>
      </c>
      <c r="AI8" s="381"/>
      <c r="AJ8" s="380"/>
      <c r="AK8" s="379">
        <f t="shared" ref="AK8:AK13" si="1">+AO8-AM8</f>
        <v>5501</v>
      </c>
      <c r="AL8" s="380"/>
      <c r="AM8" s="380">
        <v>1214</v>
      </c>
      <c r="AN8" s="380"/>
      <c r="AO8" s="380">
        <v>6715</v>
      </c>
      <c r="AP8" s="381"/>
      <c r="AQ8" s="314"/>
      <c r="AR8" s="379">
        <f t="shared" ref="AR8:AR13" si="2">+AV8-AT8</f>
        <v>6327</v>
      </c>
      <c r="AS8" s="380"/>
      <c r="AT8" s="380">
        <f>2350-1198</f>
        <v>1152</v>
      </c>
      <c r="AU8" s="380"/>
      <c r="AV8" s="380">
        <f>14382-6903</f>
        <v>7479</v>
      </c>
      <c r="AW8" s="381"/>
      <c r="AX8" s="267"/>
      <c r="AY8" s="379">
        <f t="shared" ref="AY8:AY13" si="3">+BC8-BA8</f>
        <v>5705</v>
      </c>
      <c r="AZ8" s="380"/>
      <c r="BA8" s="267">
        <v>1198</v>
      </c>
      <c r="BB8" s="380"/>
      <c r="BC8" s="16">
        <v>6903</v>
      </c>
      <c r="BD8" s="381"/>
      <c r="BE8" s="267"/>
      <c r="BF8" s="382">
        <f t="shared" ref="BF8:BF13" si="4">+AD8+AK8+AR8+AY8</f>
        <v>23028</v>
      </c>
      <c r="BG8" s="383"/>
      <c r="BH8" s="383">
        <f t="shared" ref="BH8:BH13" si="5">+AF8+AM8+AT8+BA8</f>
        <v>4650</v>
      </c>
      <c r="BI8" s="383"/>
      <c r="BJ8" s="383">
        <f t="shared" ref="BJ8:BJ13" si="6">+AH8+AO8+AV8+BC8</f>
        <v>27678</v>
      </c>
      <c r="BK8" s="384"/>
    </row>
    <row r="9" spans="1:65" ht="12.75" customHeight="1">
      <c r="A9" s="317" t="s">
        <v>547</v>
      </c>
      <c r="B9" s="217">
        <f>+F9-W9-P9-I9</f>
        <v>229</v>
      </c>
      <c r="C9" s="314">
        <f t="shared" si="0"/>
        <v>176</v>
      </c>
      <c r="D9" s="182"/>
      <c r="E9" s="278">
        <v>0</v>
      </c>
      <c r="F9" s="219">
        <v>1084</v>
      </c>
      <c r="G9" s="267">
        <v>822</v>
      </c>
      <c r="I9" s="219">
        <v>261</v>
      </c>
      <c r="J9" s="267">
        <v>165</v>
      </c>
      <c r="L9" s="182"/>
      <c r="M9" s="219">
        <v>855</v>
      </c>
      <c r="N9" s="267">
        <v>646</v>
      </c>
      <c r="O9" s="50"/>
      <c r="P9" s="219">
        <v>285</v>
      </c>
      <c r="Q9" s="267">
        <v>251</v>
      </c>
      <c r="R9" s="219"/>
      <c r="S9" s="182"/>
      <c r="T9" s="219">
        <v>594</v>
      </c>
      <c r="U9" s="267">
        <v>481</v>
      </c>
      <c r="V9" s="50"/>
      <c r="W9" s="219">
        <v>309</v>
      </c>
      <c r="X9" s="267">
        <v>230</v>
      </c>
      <c r="Y9" s="219"/>
      <c r="Z9" s="182">
        <v>0</v>
      </c>
      <c r="AA9" s="219">
        <v>309</v>
      </c>
      <c r="AB9" s="267">
        <v>230</v>
      </c>
      <c r="AC9" s="50"/>
      <c r="AD9" s="324">
        <v>176</v>
      </c>
      <c r="AE9" s="278"/>
      <c r="AF9" s="278">
        <v>0</v>
      </c>
      <c r="AG9" s="278"/>
      <c r="AH9" s="278">
        <v>176</v>
      </c>
      <c r="AI9" s="325"/>
      <c r="AJ9" s="278"/>
      <c r="AK9" s="379">
        <f t="shared" si="1"/>
        <v>165</v>
      </c>
      <c r="AL9" s="278"/>
      <c r="AM9" s="278"/>
      <c r="AN9" s="278"/>
      <c r="AO9" s="278">
        <v>165</v>
      </c>
      <c r="AP9" s="325"/>
      <c r="AQ9" s="314"/>
      <c r="AR9" s="379">
        <f t="shared" si="2"/>
        <v>251</v>
      </c>
      <c r="AS9" s="278"/>
      <c r="AT9" s="278"/>
      <c r="AU9" s="278"/>
      <c r="AV9" s="278">
        <v>251</v>
      </c>
      <c r="AW9" s="325"/>
      <c r="AX9" s="267"/>
      <c r="AY9" s="379">
        <f t="shared" si="3"/>
        <v>230</v>
      </c>
      <c r="AZ9" s="278"/>
      <c r="BA9" s="267">
        <v>0</v>
      </c>
      <c r="BB9" s="278"/>
      <c r="BC9" s="267">
        <v>230</v>
      </c>
      <c r="BD9" s="325"/>
      <c r="BE9" s="267"/>
      <c r="BF9" s="379">
        <f t="shared" si="4"/>
        <v>822</v>
      </c>
      <c r="BG9" s="380"/>
      <c r="BH9" s="380">
        <f t="shared" si="5"/>
        <v>0</v>
      </c>
      <c r="BI9" s="380"/>
      <c r="BJ9" s="380">
        <f t="shared" si="6"/>
        <v>822</v>
      </c>
      <c r="BK9" s="325"/>
    </row>
    <row r="10" spans="1:65" ht="12.75" customHeight="1">
      <c r="A10" s="316" t="s">
        <v>548</v>
      </c>
      <c r="B10" s="217">
        <f>+F10-W10-P10-I10</f>
        <v>66046</v>
      </c>
      <c r="C10" s="314">
        <f t="shared" si="0"/>
        <v>53048</v>
      </c>
      <c r="D10" s="217"/>
      <c r="E10" s="314">
        <v>10267</v>
      </c>
      <c r="F10" s="217">
        <v>276128</v>
      </c>
      <c r="G10" s="267">
        <v>263857</v>
      </c>
      <c r="I10" s="390">
        <f>67251+468</f>
        <v>67719</v>
      </c>
      <c r="J10" s="267">
        <f>52055-733</f>
        <v>51322</v>
      </c>
      <c r="K10" s="217"/>
      <c r="L10" s="182">
        <v>11350</v>
      </c>
      <c r="M10" s="217">
        <f>209614+468</f>
        <v>210082</v>
      </c>
      <c r="N10" s="267">
        <f>203394-2852</f>
        <v>200542</v>
      </c>
      <c r="O10" s="217"/>
      <c r="P10" s="217">
        <v>72374</v>
      </c>
      <c r="Q10" s="267">
        <f>61597-1105</f>
        <v>60492</v>
      </c>
      <c r="R10" s="217"/>
      <c r="S10" s="267">
        <v>10945</v>
      </c>
      <c r="T10" s="217">
        <v>142363</v>
      </c>
      <c r="U10" s="267">
        <f>139989-2119</f>
        <v>137870</v>
      </c>
      <c r="V10" s="217"/>
      <c r="W10" s="217">
        <f>68443+1546</f>
        <v>69989</v>
      </c>
      <c r="X10" s="267">
        <f>+AB10-Z10</f>
        <v>54956</v>
      </c>
      <c r="Y10" s="217">
        <f>+D10-K10</f>
        <v>0</v>
      </c>
      <c r="Z10" s="267">
        <f>11467+10</f>
        <v>11477</v>
      </c>
      <c r="AA10" s="217">
        <f>68443+1546</f>
        <v>69989</v>
      </c>
      <c r="AB10" s="267">
        <f>66408+1039-1014</f>
        <v>66433</v>
      </c>
      <c r="AC10" s="217"/>
      <c r="AD10" s="13">
        <f>+AH10-AF10</f>
        <v>53869</v>
      </c>
      <c r="AE10" s="314"/>
      <c r="AF10" s="314">
        <v>10267</v>
      </c>
      <c r="AG10" s="314"/>
      <c r="AH10" s="314">
        <f>63315+821</f>
        <v>64136</v>
      </c>
      <c r="AI10" s="319"/>
      <c r="AJ10" s="314"/>
      <c r="AK10" s="379">
        <f t="shared" si="1"/>
        <v>52055</v>
      </c>
      <c r="AL10" s="314"/>
      <c r="AM10" s="314">
        <v>11350</v>
      </c>
      <c r="AN10" s="314"/>
      <c r="AO10" s="314">
        <f>62672+733</f>
        <v>63405</v>
      </c>
      <c r="AP10" s="319"/>
      <c r="AQ10" s="314"/>
      <c r="AR10" s="379">
        <f t="shared" si="2"/>
        <v>61597</v>
      </c>
      <c r="AS10" s="314"/>
      <c r="AT10" s="314">
        <f>22408-11477+14</f>
        <v>10945</v>
      </c>
      <c r="AU10" s="314"/>
      <c r="AV10" s="314">
        <f>137830+47-66433+1105-7</f>
        <v>72542</v>
      </c>
      <c r="AW10" s="319"/>
      <c r="AX10" s="267"/>
      <c r="AY10" s="379">
        <f t="shared" si="3"/>
        <v>55970</v>
      </c>
      <c r="AZ10" s="314"/>
      <c r="BA10" s="267">
        <f>11467+10</f>
        <v>11477</v>
      </c>
      <c r="BB10" s="314"/>
      <c r="BC10" s="267">
        <f>66408+1039</f>
        <v>67447</v>
      </c>
      <c r="BD10" s="319"/>
      <c r="BE10" s="267"/>
      <c r="BF10" s="379">
        <f t="shared" si="4"/>
        <v>223491</v>
      </c>
      <c r="BG10" s="380"/>
      <c r="BH10" s="380">
        <f t="shared" si="5"/>
        <v>44039</v>
      </c>
      <c r="BI10" s="380"/>
      <c r="BJ10" s="380">
        <f t="shared" si="6"/>
        <v>267530</v>
      </c>
      <c r="BK10" s="319"/>
      <c r="BL10">
        <v>263857</v>
      </c>
      <c r="BM10" s="338">
        <f>+BJ10-BL10</f>
        <v>3673</v>
      </c>
    </row>
    <row r="11" spans="1:65" ht="12.75" customHeight="1">
      <c r="A11" s="106" t="s">
        <v>339</v>
      </c>
      <c r="B11" s="217">
        <f t="shared" ref="B11:B19" si="7">+F11-W11-P11-I11</f>
        <v>-62731</v>
      </c>
      <c r="C11" s="314">
        <f t="shared" si="0"/>
        <v>-52469</v>
      </c>
      <c r="D11" s="217"/>
      <c r="E11" s="314">
        <v>-11666</v>
      </c>
      <c r="F11" s="219">
        <v>-259376</v>
      </c>
      <c r="G11" s="267">
        <v>-261397</v>
      </c>
      <c r="I11" s="390">
        <f>-62850-468</f>
        <v>-63318</v>
      </c>
      <c r="J11" s="267">
        <f>-52787+733</f>
        <v>-52054</v>
      </c>
      <c r="K11" s="217"/>
      <c r="L11" s="182">
        <v>-12762</v>
      </c>
      <c r="M11" s="219">
        <f>-196177-468</f>
        <v>-196645</v>
      </c>
      <c r="N11" s="267">
        <f>-200114+2852</f>
        <v>-197262</v>
      </c>
      <c r="O11" s="217"/>
      <c r="P11" s="219">
        <v>-67582</v>
      </c>
      <c r="Q11" s="267">
        <f>-57798+1105</f>
        <v>-56693</v>
      </c>
      <c r="R11" s="217"/>
      <c r="S11" s="267">
        <v>-11459</v>
      </c>
      <c r="T11" s="219">
        <v>-133327</v>
      </c>
      <c r="U11" s="267">
        <f>-134565+2119</f>
        <v>-132446</v>
      </c>
      <c r="V11" s="217"/>
      <c r="W11" s="219">
        <f>-65925+27+153</f>
        <v>-65745</v>
      </c>
      <c r="X11" s="267">
        <f>+AB11-Z11</f>
        <v>-52635</v>
      </c>
      <c r="Y11" s="217">
        <f>+D11-K11</f>
        <v>0</v>
      </c>
      <c r="Z11" s="267">
        <v>-11659</v>
      </c>
      <c r="AA11" s="219">
        <f>-65925+27+153</f>
        <v>-65745</v>
      </c>
      <c r="AB11" s="267">
        <f>-65252-77+22-1+1014</f>
        <v>-64294</v>
      </c>
      <c r="AC11" s="217"/>
      <c r="AD11" s="13">
        <f>+AH11-AF11</f>
        <v>-53290</v>
      </c>
      <c r="AE11" s="314"/>
      <c r="AF11" s="314">
        <v>-11666</v>
      </c>
      <c r="AG11" s="314"/>
      <c r="AH11" s="314">
        <f>-64135-821</f>
        <v>-64956</v>
      </c>
      <c r="AI11" s="319"/>
      <c r="AJ11" s="314"/>
      <c r="AK11" s="379">
        <f t="shared" si="1"/>
        <v>-52787</v>
      </c>
      <c r="AL11" s="314"/>
      <c r="AM11" s="314">
        <v>-12762</v>
      </c>
      <c r="AN11" s="314"/>
      <c r="AO11" s="314">
        <f>-64762-733-54</f>
        <v>-65549</v>
      </c>
      <c r="AP11" s="319"/>
      <c r="AQ11" s="314"/>
      <c r="AR11" s="379">
        <f t="shared" si="2"/>
        <v>-57798</v>
      </c>
      <c r="AS11" s="314"/>
      <c r="AT11" s="314">
        <f>-23118+11659</f>
        <v>-11459</v>
      </c>
      <c r="AU11" s="314"/>
      <c r="AV11" s="314">
        <f>-132594+99+42+64294-1105+7</f>
        <v>-69257</v>
      </c>
      <c r="AW11" s="319"/>
      <c r="AX11" s="267"/>
      <c r="AY11" s="379">
        <f t="shared" si="3"/>
        <v>-53649</v>
      </c>
      <c r="AZ11" s="314"/>
      <c r="BA11" s="267">
        <v>-11659</v>
      </c>
      <c r="BB11" s="314"/>
      <c r="BC11" s="267">
        <f>-65252-77+22-1</f>
        <v>-65308</v>
      </c>
      <c r="BD11" s="319"/>
      <c r="BE11" s="267"/>
      <c r="BF11" s="379">
        <f t="shared" si="4"/>
        <v>-217524</v>
      </c>
      <c r="BG11" s="380"/>
      <c r="BH11" s="380">
        <f t="shared" si="5"/>
        <v>-47546</v>
      </c>
      <c r="BI11" s="380"/>
      <c r="BJ11" s="380">
        <f t="shared" si="6"/>
        <v>-265070</v>
      </c>
      <c r="BK11" s="319"/>
      <c r="BL11">
        <v>-261397</v>
      </c>
      <c r="BM11" s="338">
        <f>+BJ11-BL11</f>
        <v>-3673</v>
      </c>
    </row>
    <row r="12" spans="1:65" ht="12.75" customHeight="1">
      <c r="A12" s="106" t="s">
        <v>532</v>
      </c>
      <c r="B12" s="217">
        <f t="shared" si="7"/>
        <v>0</v>
      </c>
      <c r="C12" s="314">
        <f t="shared" si="0"/>
        <v>0</v>
      </c>
      <c r="D12" s="217"/>
      <c r="E12" s="343">
        <v>2821</v>
      </c>
      <c r="F12" s="219"/>
      <c r="G12" s="267">
        <v>-7996</v>
      </c>
      <c r="I12" s="372">
        <v>0</v>
      </c>
      <c r="J12" s="267">
        <v>0</v>
      </c>
      <c r="K12" s="182"/>
      <c r="L12" s="182">
        <v>-10817</v>
      </c>
      <c r="M12" s="219"/>
      <c r="N12" s="267">
        <v>-10817</v>
      </c>
      <c r="O12" s="218"/>
      <c r="P12" s="219">
        <v>0</v>
      </c>
      <c r="Q12" s="267">
        <v>0</v>
      </c>
      <c r="R12" s="217"/>
      <c r="S12" s="267">
        <v>0</v>
      </c>
      <c r="T12" s="219"/>
      <c r="U12" s="267"/>
      <c r="V12" s="218"/>
      <c r="W12" s="219"/>
      <c r="X12" s="267">
        <f>+AB12-Z12</f>
        <v>0</v>
      </c>
      <c r="Y12" s="217">
        <f>+D12-K12</f>
        <v>0</v>
      </c>
      <c r="Z12" s="267"/>
      <c r="AA12" s="219"/>
      <c r="AB12" s="267"/>
      <c r="AC12" s="217"/>
      <c r="AD12" s="342">
        <f>+AH12-AF12</f>
        <v>0</v>
      </c>
      <c r="AE12" s="343"/>
      <c r="AF12" s="343">
        <v>2821</v>
      </c>
      <c r="AG12" s="314"/>
      <c r="AH12" s="314">
        <v>2821</v>
      </c>
      <c r="AI12" s="319"/>
      <c r="AJ12" s="314"/>
      <c r="AK12" s="385">
        <f t="shared" si="1"/>
        <v>0</v>
      </c>
      <c r="AL12" s="343"/>
      <c r="AM12" s="343">
        <v>-10817</v>
      </c>
      <c r="AN12" s="314"/>
      <c r="AO12" s="314">
        <v>-10817</v>
      </c>
      <c r="AP12" s="319"/>
      <c r="AQ12" s="314"/>
      <c r="AR12" s="379">
        <f t="shared" si="2"/>
        <v>0</v>
      </c>
      <c r="AS12" s="314"/>
      <c r="AT12" s="314">
        <v>0</v>
      </c>
      <c r="AU12" s="314"/>
      <c r="AV12" s="314">
        <v>0</v>
      </c>
      <c r="AW12" s="319"/>
      <c r="AX12" s="267"/>
      <c r="AY12" s="379">
        <f t="shared" si="3"/>
        <v>0</v>
      </c>
      <c r="AZ12" s="314"/>
      <c r="BA12" s="267"/>
      <c r="BB12" s="314"/>
      <c r="BC12" s="267"/>
      <c r="BD12" s="319"/>
      <c r="BE12" s="267"/>
      <c r="BF12" s="379">
        <f t="shared" si="4"/>
        <v>0</v>
      </c>
      <c r="BG12" s="380"/>
      <c r="BH12" s="380">
        <f t="shared" si="5"/>
        <v>-7996</v>
      </c>
      <c r="BI12" s="380"/>
      <c r="BJ12" s="380">
        <f t="shared" si="6"/>
        <v>-7996</v>
      </c>
      <c r="BK12" s="319"/>
    </row>
    <row r="13" spans="1:65" ht="12.75" customHeight="1">
      <c r="A13" s="106" t="s">
        <v>341</v>
      </c>
      <c r="B13" s="221">
        <f t="shared" si="7"/>
        <v>628</v>
      </c>
      <c r="C13" s="299">
        <f t="shared" si="0"/>
        <v>289</v>
      </c>
      <c r="D13" s="221"/>
      <c r="E13" s="299">
        <v>17</v>
      </c>
      <c r="F13" s="222">
        <v>27316</v>
      </c>
      <c r="G13" s="299">
        <v>1523</v>
      </c>
      <c r="I13" s="389">
        <v>24965</v>
      </c>
      <c r="J13" s="299">
        <v>131</v>
      </c>
      <c r="K13" s="221"/>
      <c r="L13" s="288">
        <v>0</v>
      </c>
      <c r="M13" s="222">
        <v>26688</v>
      </c>
      <c r="N13" s="299">
        <v>1217</v>
      </c>
      <c r="O13" s="218"/>
      <c r="P13" s="222">
        <v>1391</v>
      </c>
      <c r="Q13" s="299">
        <v>250</v>
      </c>
      <c r="R13" s="221"/>
      <c r="S13" s="299">
        <v>0</v>
      </c>
      <c r="T13" s="222">
        <v>1723</v>
      </c>
      <c r="U13" s="299">
        <v>1086</v>
      </c>
      <c r="V13" s="218"/>
      <c r="W13" s="222">
        <f>485-153</f>
        <v>332</v>
      </c>
      <c r="X13" s="299">
        <f>+AB13-Z13</f>
        <v>836</v>
      </c>
      <c r="Y13" s="221">
        <f>+D13-K13</f>
        <v>0</v>
      </c>
      <c r="Z13" s="299">
        <v>0</v>
      </c>
      <c r="AA13" s="222">
        <f>485-153</f>
        <v>332</v>
      </c>
      <c r="AB13" s="299">
        <v>836</v>
      </c>
      <c r="AC13" s="221"/>
      <c r="AD13" s="320">
        <f>+AH13-AF13</f>
        <v>289</v>
      </c>
      <c r="AE13" s="299"/>
      <c r="AF13" s="299">
        <v>17</v>
      </c>
      <c r="AG13" s="299"/>
      <c r="AH13" s="299">
        <v>306</v>
      </c>
      <c r="AI13" s="321"/>
      <c r="AJ13" s="314"/>
      <c r="AK13" s="21">
        <f t="shared" si="1"/>
        <v>131</v>
      </c>
      <c r="AL13" s="299"/>
      <c r="AM13" s="299">
        <v>0</v>
      </c>
      <c r="AN13" s="299"/>
      <c r="AO13" s="299">
        <v>131</v>
      </c>
      <c r="AP13" s="321"/>
      <c r="AQ13" s="314"/>
      <c r="AR13" s="21">
        <f t="shared" si="2"/>
        <v>250</v>
      </c>
      <c r="AS13" s="299"/>
      <c r="AT13" s="299">
        <v>0</v>
      </c>
      <c r="AU13" s="299"/>
      <c r="AV13" s="299">
        <f>1086-836</f>
        <v>250</v>
      </c>
      <c r="AW13" s="321"/>
      <c r="AX13" s="267"/>
      <c r="AY13" s="21">
        <f t="shared" si="3"/>
        <v>836</v>
      </c>
      <c r="AZ13" s="299"/>
      <c r="BA13" s="299">
        <v>0</v>
      </c>
      <c r="BB13" s="299"/>
      <c r="BC13" s="299">
        <v>836</v>
      </c>
      <c r="BD13" s="321"/>
      <c r="BE13" s="267"/>
      <c r="BF13" s="21">
        <f t="shared" si="4"/>
        <v>1506</v>
      </c>
      <c r="BG13" s="22"/>
      <c r="BH13" s="22">
        <f t="shared" si="5"/>
        <v>17</v>
      </c>
      <c r="BI13" s="22"/>
      <c r="BJ13" s="22">
        <f t="shared" si="6"/>
        <v>1523</v>
      </c>
      <c r="BK13" s="321"/>
    </row>
    <row r="14" spans="1:65" ht="12.75" customHeight="1">
      <c r="A14" s="106" t="s">
        <v>342</v>
      </c>
      <c r="B14" s="219">
        <f t="shared" ref="B14:G14" si="8">SUM(B10:B13)</f>
        <v>3943</v>
      </c>
      <c r="C14" s="300">
        <f t="shared" si="8"/>
        <v>868</v>
      </c>
      <c r="D14" s="219">
        <f t="shared" si="8"/>
        <v>0</v>
      </c>
      <c r="E14" s="278">
        <v>1439</v>
      </c>
      <c r="F14" s="219">
        <f t="shared" si="8"/>
        <v>44068</v>
      </c>
      <c r="G14" s="300">
        <f t="shared" si="8"/>
        <v>-4013</v>
      </c>
      <c r="I14" s="219">
        <v>29366</v>
      </c>
      <c r="J14" s="300">
        <v>-601</v>
      </c>
      <c r="K14" s="219">
        <v>0</v>
      </c>
      <c r="L14" s="300">
        <v>-12229</v>
      </c>
      <c r="M14" s="219">
        <v>40125</v>
      </c>
      <c r="N14" s="300">
        <v>-6320</v>
      </c>
      <c r="O14" s="220"/>
      <c r="P14" s="219">
        <v>6183</v>
      </c>
      <c r="Q14" s="300">
        <v>4049</v>
      </c>
      <c r="R14" s="219">
        <v>0</v>
      </c>
      <c r="S14" s="300">
        <v>-514</v>
      </c>
      <c r="T14" s="219">
        <v>10759</v>
      </c>
      <c r="U14" s="300">
        <v>6510</v>
      </c>
      <c r="V14" s="220"/>
      <c r="W14" s="219">
        <f t="shared" ref="W14:AB14" si="9">SUM(W10:W13)</f>
        <v>4576</v>
      </c>
      <c r="X14" s="300">
        <f t="shared" si="9"/>
        <v>3157</v>
      </c>
      <c r="Y14" s="219">
        <f t="shared" si="9"/>
        <v>0</v>
      </c>
      <c r="Z14" s="300">
        <f t="shared" si="9"/>
        <v>-182</v>
      </c>
      <c r="AA14" s="219">
        <f t="shared" si="9"/>
        <v>4576</v>
      </c>
      <c r="AB14" s="300">
        <f t="shared" si="9"/>
        <v>2975</v>
      </c>
      <c r="AC14" s="219"/>
      <c r="AD14" s="324">
        <f>SUM(AD10:AD13)</f>
        <v>868</v>
      </c>
      <c r="AE14" s="278"/>
      <c r="AF14" s="278">
        <f>SUM(AF10:AF13)</f>
        <v>1439</v>
      </c>
      <c r="AG14" s="278"/>
      <c r="AH14" s="278">
        <f>SUM(AH10:AH13)</f>
        <v>2307</v>
      </c>
      <c r="AI14" s="325"/>
      <c r="AJ14" s="278"/>
      <c r="AK14" s="324">
        <f>SUM(AK10:AK13)</f>
        <v>-601</v>
      </c>
      <c r="AL14" s="278"/>
      <c r="AM14" s="278">
        <f>SUM(AM10:AM13)</f>
        <v>-12229</v>
      </c>
      <c r="AN14" s="278"/>
      <c r="AO14" s="278">
        <f>SUM(AO10:AO13)</f>
        <v>-12830</v>
      </c>
      <c r="AP14" s="325"/>
      <c r="AQ14" s="314"/>
      <c r="AR14" s="324">
        <f>SUM(AR10:AR13)</f>
        <v>4049</v>
      </c>
      <c r="AS14" s="278"/>
      <c r="AT14" s="278">
        <f>SUM(AT10:AT13)</f>
        <v>-514</v>
      </c>
      <c r="AU14" s="278"/>
      <c r="AV14" s="278">
        <f>SUM(AV10:AV13)</f>
        <v>3535</v>
      </c>
      <c r="AW14" s="325"/>
      <c r="AX14" s="267"/>
      <c r="AY14" s="324">
        <f>SUM(AY10:AY13)</f>
        <v>3157</v>
      </c>
      <c r="AZ14" s="278"/>
      <c r="BA14" s="300">
        <f>SUM(BA10:BA13)</f>
        <v>-182</v>
      </c>
      <c r="BB14" s="278"/>
      <c r="BC14" s="300">
        <f>SUM(BC10:BC13)</f>
        <v>2975</v>
      </c>
      <c r="BD14" s="325"/>
      <c r="BE14" s="267"/>
      <c r="BF14" s="332">
        <f>SUM(BF10:BF13)</f>
        <v>7473</v>
      </c>
      <c r="BG14" s="333"/>
      <c r="BH14" s="333">
        <f>SUM(BH10:BH13)</f>
        <v>-11486</v>
      </c>
      <c r="BI14" s="333"/>
      <c r="BJ14" s="333">
        <f>SUM(BJ10:BJ13)</f>
        <v>-4013</v>
      </c>
      <c r="BK14" s="334"/>
    </row>
    <row r="15" spans="1:65" ht="12.75" customHeight="1">
      <c r="A15" s="30" t="s">
        <v>343</v>
      </c>
      <c r="B15" s="221">
        <f t="shared" si="7"/>
        <v>-93</v>
      </c>
      <c r="C15" s="299">
        <f>+G15-N15-E15</f>
        <v>-89</v>
      </c>
      <c r="D15" s="221"/>
      <c r="E15" s="299">
        <v>-12</v>
      </c>
      <c r="F15" s="221">
        <v>-420</v>
      </c>
      <c r="G15" s="299">
        <v>-499</v>
      </c>
      <c r="I15" s="389">
        <v>-93</v>
      </c>
      <c r="J15" s="299">
        <v>-124</v>
      </c>
      <c r="K15" s="221"/>
      <c r="L15" s="288">
        <v>-14</v>
      </c>
      <c r="M15" s="221">
        <v>-327</v>
      </c>
      <c r="N15" s="299">
        <v>-398</v>
      </c>
      <c r="O15" s="218"/>
      <c r="P15" s="221">
        <v>-126</v>
      </c>
      <c r="Q15" s="299">
        <v>-124</v>
      </c>
      <c r="R15" s="221"/>
      <c r="S15" s="299">
        <v>-18</v>
      </c>
      <c r="T15" s="221">
        <v>-234</v>
      </c>
      <c r="U15" s="299">
        <v>-260</v>
      </c>
      <c r="V15" s="218"/>
      <c r="W15" s="221">
        <v>-108</v>
      </c>
      <c r="X15" s="299">
        <f>+AB15-Z15</f>
        <v>-104</v>
      </c>
      <c r="Y15" s="221">
        <f>+D15-K15</f>
        <v>0</v>
      </c>
      <c r="Z15" s="299">
        <v>-14</v>
      </c>
      <c r="AA15" s="221">
        <v>-108</v>
      </c>
      <c r="AB15" s="299">
        <v>-118</v>
      </c>
      <c r="AC15" s="217"/>
      <c r="AD15" s="320">
        <v>-89</v>
      </c>
      <c r="AE15" s="299"/>
      <c r="AF15" s="299">
        <v>-12</v>
      </c>
      <c r="AG15" s="299"/>
      <c r="AH15" s="299">
        <v>-101</v>
      </c>
      <c r="AI15" s="321"/>
      <c r="AJ15" s="314"/>
      <c r="AK15" s="320">
        <f>+AO15-AM15</f>
        <v>-124</v>
      </c>
      <c r="AL15" s="299"/>
      <c r="AM15" s="299">
        <v>-14</v>
      </c>
      <c r="AN15" s="299"/>
      <c r="AO15" s="299">
        <v>-138</v>
      </c>
      <c r="AP15" s="321"/>
      <c r="AQ15" s="314"/>
      <c r="AR15" s="320">
        <f>+AV15-AT15</f>
        <v>-124</v>
      </c>
      <c r="AS15" s="299"/>
      <c r="AT15" s="299">
        <f>-32+14</f>
        <v>-18</v>
      </c>
      <c r="AU15" s="299"/>
      <c r="AV15" s="299">
        <f>+-260+118</f>
        <v>-142</v>
      </c>
      <c r="AW15" s="321"/>
      <c r="AX15" s="267"/>
      <c r="AY15" s="320">
        <f>+BC15-BA15</f>
        <v>-104</v>
      </c>
      <c r="AZ15" s="299"/>
      <c r="BA15" s="299">
        <v>-14</v>
      </c>
      <c r="BB15" s="299"/>
      <c r="BC15" s="299">
        <v>-118</v>
      </c>
      <c r="BD15" s="321"/>
      <c r="BE15" s="267"/>
      <c r="BF15" s="21">
        <f>+AD15+AK15+AR15+AY15</f>
        <v>-441</v>
      </c>
      <c r="BG15" s="22"/>
      <c r="BH15" s="22">
        <f>+AF15+AM15+AT15+BA15</f>
        <v>-58</v>
      </c>
      <c r="BI15" s="22"/>
      <c r="BJ15" s="22">
        <f>+AH15+AO15+AV15+BC15</f>
        <v>-499</v>
      </c>
      <c r="BK15" s="321"/>
    </row>
    <row r="16" spans="1:65" ht="12.75" customHeight="1">
      <c r="A16" s="30" t="s">
        <v>344</v>
      </c>
      <c r="B16" s="217">
        <f t="shared" ref="B16:G16" si="10">SUM(B14:B15)</f>
        <v>3850</v>
      </c>
      <c r="C16" s="267">
        <f t="shared" si="10"/>
        <v>779</v>
      </c>
      <c r="D16" s="217">
        <f t="shared" si="10"/>
        <v>0</v>
      </c>
      <c r="E16" s="314">
        <v>1427</v>
      </c>
      <c r="F16" s="217">
        <f t="shared" si="10"/>
        <v>43648</v>
      </c>
      <c r="G16" s="267">
        <f t="shared" si="10"/>
        <v>-4512</v>
      </c>
      <c r="I16" s="217">
        <v>29273</v>
      </c>
      <c r="J16" s="267">
        <v>-725</v>
      </c>
      <c r="K16" s="217">
        <v>0</v>
      </c>
      <c r="L16" s="267">
        <v>-12243</v>
      </c>
      <c r="M16" s="217">
        <v>39798</v>
      </c>
      <c r="N16" s="267">
        <v>-6718</v>
      </c>
      <c r="O16" s="218"/>
      <c r="P16" s="217">
        <v>6057</v>
      </c>
      <c r="Q16" s="267">
        <v>3925</v>
      </c>
      <c r="R16" s="217">
        <v>0</v>
      </c>
      <c r="S16" s="267">
        <v>-532</v>
      </c>
      <c r="T16" s="217">
        <v>10525</v>
      </c>
      <c r="U16" s="267">
        <v>6250</v>
      </c>
      <c r="V16" s="218"/>
      <c r="W16" s="217">
        <f>SUM(W14:W15)</f>
        <v>4468</v>
      </c>
      <c r="X16" s="267">
        <f>SUM(X14:X15)</f>
        <v>3053</v>
      </c>
      <c r="Y16" s="217">
        <f>+Y14+Y15</f>
        <v>0</v>
      </c>
      <c r="Z16" s="267">
        <f>SUM(Z14:Z15)</f>
        <v>-196</v>
      </c>
      <c r="AA16" s="217">
        <f>SUM(AA14:AA15)</f>
        <v>4468</v>
      </c>
      <c r="AB16" s="267">
        <f>SUM(AB14:AB15)</f>
        <v>2857</v>
      </c>
      <c r="AC16" s="217"/>
      <c r="AD16" s="13">
        <f>+AD14+AD15</f>
        <v>779</v>
      </c>
      <c r="AE16" s="314"/>
      <c r="AF16" s="314">
        <f>+AF14+AF15</f>
        <v>1427</v>
      </c>
      <c r="AG16" s="314"/>
      <c r="AH16" s="314">
        <f>+AH14+AH15</f>
        <v>2206</v>
      </c>
      <c r="AI16" s="319"/>
      <c r="AJ16" s="314"/>
      <c r="AK16" s="13">
        <f>+AK14+AK15</f>
        <v>-725</v>
      </c>
      <c r="AL16" s="314"/>
      <c r="AM16" s="314">
        <f>+AM14+AM15</f>
        <v>-12243</v>
      </c>
      <c r="AN16" s="314"/>
      <c r="AO16" s="314">
        <f>+AO14+AO15</f>
        <v>-12968</v>
      </c>
      <c r="AP16" s="319"/>
      <c r="AQ16" s="314"/>
      <c r="AR16" s="13">
        <f>+AR14+AR15</f>
        <v>3925</v>
      </c>
      <c r="AS16" s="314"/>
      <c r="AT16" s="314">
        <f>+AT14+AT15</f>
        <v>-532</v>
      </c>
      <c r="AU16" s="314"/>
      <c r="AV16" s="314">
        <f>+AV14+AV15</f>
        <v>3393</v>
      </c>
      <c r="AW16" s="319"/>
      <c r="AX16" s="267"/>
      <c r="AY16" s="13">
        <f>+AY14+AY15</f>
        <v>3053</v>
      </c>
      <c r="AZ16" s="314"/>
      <c r="BA16" s="267">
        <f>SUM(BA14:BA15)</f>
        <v>-196</v>
      </c>
      <c r="BB16" s="314"/>
      <c r="BC16" s="267">
        <f>SUM(BC14:BC15)</f>
        <v>2857</v>
      </c>
      <c r="BD16" s="319"/>
      <c r="BE16" s="267"/>
      <c r="BF16" s="335">
        <f>+BF14+BF15</f>
        <v>7032</v>
      </c>
      <c r="BG16" s="336"/>
      <c r="BH16" s="336">
        <f>SUM(BH14:BH15)</f>
        <v>-11544</v>
      </c>
      <c r="BI16" s="336"/>
      <c r="BJ16" s="336">
        <f>SUM(BJ14:BJ15)</f>
        <v>-4512</v>
      </c>
      <c r="BK16" s="337"/>
    </row>
    <row r="17" spans="1:63" ht="12.75" customHeight="1">
      <c r="A17" s="30" t="s">
        <v>345</v>
      </c>
      <c r="B17" s="221">
        <f t="shared" si="7"/>
        <v>-695</v>
      </c>
      <c r="C17" s="299">
        <f>+G17-N17-E17</f>
        <v>-585</v>
      </c>
      <c r="D17" s="301"/>
      <c r="E17" s="299">
        <v>0</v>
      </c>
      <c r="F17" s="221">
        <v>-4019</v>
      </c>
      <c r="G17" s="299">
        <v>-1961</v>
      </c>
      <c r="I17" s="389">
        <v>-1646</v>
      </c>
      <c r="J17" s="299">
        <v>100</v>
      </c>
      <c r="K17" s="301"/>
      <c r="L17" s="288">
        <v>0</v>
      </c>
      <c r="M17" s="221">
        <v>-3324</v>
      </c>
      <c r="N17" s="299">
        <v>-1376</v>
      </c>
      <c r="O17" s="218"/>
      <c r="P17" s="221">
        <v>-871</v>
      </c>
      <c r="Q17" s="299">
        <v>-873</v>
      </c>
      <c r="R17" s="221"/>
      <c r="S17" s="299">
        <v>0</v>
      </c>
      <c r="T17" s="221">
        <v>-1678</v>
      </c>
      <c r="U17" s="299">
        <v>-1476</v>
      </c>
      <c r="V17" s="218"/>
      <c r="W17" s="221">
        <v>-807</v>
      </c>
      <c r="X17" s="299">
        <f>+AB17-Z17</f>
        <v>-603</v>
      </c>
      <c r="Y17" s="221">
        <f>+D17-K17</f>
        <v>0</v>
      </c>
      <c r="Z17" s="299"/>
      <c r="AA17" s="221">
        <v>-807</v>
      </c>
      <c r="AB17" s="299">
        <v>-603</v>
      </c>
      <c r="AC17" s="221"/>
      <c r="AD17" s="320">
        <v>-585</v>
      </c>
      <c r="AE17" s="299"/>
      <c r="AF17" s="299">
        <v>0</v>
      </c>
      <c r="AG17" s="299"/>
      <c r="AH17" s="299">
        <v>-585</v>
      </c>
      <c r="AI17" s="321"/>
      <c r="AJ17" s="314"/>
      <c r="AK17" s="320">
        <f>+AO17-AM17</f>
        <v>100</v>
      </c>
      <c r="AL17" s="299"/>
      <c r="AM17" s="299">
        <v>0</v>
      </c>
      <c r="AN17" s="299"/>
      <c r="AO17" s="299">
        <v>100</v>
      </c>
      <c r="AP17" s="321"/>
      <c r="AQ17" s="314"/>
      <c r="AR17" s="320">
        <f>+AV17-AT17</f>
        <v>-873</v>
      </c>
      <c r="AS17" s="299"/>
      <c r="AT17" s="299">
        <v>0</v>
      </c>
      <c r="AU17" s="299"/>
      <c r="AV17" s="299">
        <f>-1476+603</f>
        <v>-873</v>
      </c>
      <c r="AW17" s="321"/>
      <c r="AX17" s="267"/>
      <c r="AY17" s="320">
        <f>+BC17-BA17</f>
        <v>-603</v>
      </c>
      <c r="AZ17" s="299"/>
      <c r="BA17" s="299"/>
      <c r="BB17" s="299"/>
      <c r="BC17" s="299">
        <v>-603</v>
      </c>
      <c r="BD17" s="321"/>
      <c r="BE17" s="267"/>
      <c r="BF17" s="21">
        <f>+AD17+AK17+AR17+AY17</f>
        <v>-1961</v>
      </c>
      <c r="BG17" s="22"/>
      <c r="BH17" s="22">
        <f>+AF17+AM17+AT17+BA17</f>
        <v>0</v>
      </c>
      <c r="BI17" s="22"/>
      <c r="BJ17" s="22">
        <f>+AH17+AO17+AV17+BC17</f>
        <v>-1961</v>
      </c>
      <c r="BK17" s="321"/>
    </row>
    <row r="18" spans="1:63" ht="12.75" customHeight="1">
      <c r="A18" s="30" t="s">
        <v>346</v>
      </c>
      <c r="B18" s="217">
        <f t="shared" ref="B18:G18" si="11">SUM(B16:B17)</f>
        <v>3155</v>
      </c>
      <c r="C18" s="267">
        <f t="shared" si="11"/>
        <v>194</v>
      </c>
      <c r="D18" s="217">
        <f t="shared" si="11"/>
        <v>0</v>
      </c>
      <c r="E18" s="314">
        <v>1427</v>
      </c>
      <c r="F18" s="217">
        <f t="shared" si="11"/>
        <v>39629</v>
      </c>
      <c r="G18" s="267">
        <f t="shared" si="11"/>
        <v>-6473</v>
      </c>
      <c r="I18" s="217">
        <v>27627</v>
      </c>
      <c r="J18" s="267">
        <v>-625</v>
      </c>
      <c r="K18" s="217">
        <v>0</v>
      </c>
      <c r="L18" s="267">
        <v>-12243</v>
      </c>
      <c r="M18" s="217">
        <v>36474</v>
      </c>
      <c r="N18" s="267">
        <v>-8094</v>
      </c>
      <c r="O18" s="218"/>
      <c r="P18" s="217">
        <v>5186</v>
      </c>
      <c r="Q18" s="267">
        <v>3052</v>
      </c>
      <c r="R18" s="217">
        <v>0</v>
      </c>
      <c r="S18" s="267">
        <v>-532</v>
      </c>
      <c r="T18" s="217">
        <v>8847</v>
      </c>
      <c r="U18" s="267">
        <v>4774</v>
      </c>
      <c r="V18" s="218"/>
      <c r="W18" s="217">
        <f t="shared" ref="W18:AB18" si="12">SUM(W16:W17)</f>
        <v>3661</v>
      </c>
      <c r="X18" s="267">
        <f t="shared" si="12"/>
        <v>2450</v>
      </c>
      <c r="Y18" s="217">
        <f t="shared" si="12"/>
        <v>0</v>
      </c>
      <c r="Z18" s="267">
        <f t="shared" si="12"/>
        <v>-196</v>
      </c>
      <c r="AA18" s="217">
        <f t="shared" si="12"/>
        <v>3661</v>
      </c>
      <c r="AB18" s="267">
        <f t="shared" si="12"/>
        <v>2254</v>
      </c>
      <c r="AC18" s="217"/>
      <c r="AD18" s="13">
        <f>SUM(AD16:AD17)</f>
        <v>194</v>
      </c>
      <c r="AE18" s="314"/>
      <c r="AF18" s="314">
        <f>SUM(AF16:AF17)</f>
        <v>1427</v>
      </c>
      <c r="AG18" s="314"/>
      <c r="AH18" s="314">
        <f>SUM(AH16:AH17)</f>
        <v>1621</v>
      </c>
      <c r="AI18" s="319"/>
      <c r="AJ18" s="314"/>
      <c r="AK18" s="13">
        <f>SUM(AK16:AK17)</f>
        <v>-625</v>
      </c>
      <c r="AL18" s="314"/>
      <c r="AM18" s="314">
        <f>SUM(AM16:AM17)</f>
        <v>-12243</v>
      </c>
      <c r="AN18" s="314"/>
      <c r="AO18" s="314">
        <f>SUM(AO16:AO17)</f>
        <v>-12868</v>
      </c>
      <c r="AP18" s="319"/>
      <c r="AQ18" s="314"/>
      <c r="AR18" s="13">
        <f>SUM(AR16:AR17)</f>
        <v>3052</v>
      </c>
      <c r="AS18" s="314"/>
      <c r="AT18" s="314">
        <f>SUM(AT16:AT17)</f>
        <v>-532</v>
      </c>
      <c r="AU18" s="314"/>
      <c r="AV18" s="314">
        <f>SUM(AV16:AV17)</f>
        <v>2520</v>
      </c>
      <c r="AW18" s="319"/>
      <c r="AX18" s="267"/>
      <c r="AY18" s="13">
        <f>SUM(AY16:AY17)</f>
        <v>2450</v>
      </c>
      <c r="AZ18" s="314"/>
      <c r="BA18" s="267">
        <f>SUM(BA16:BA17)</f>
        <v>-196</v>
      </c>
      <c r="BB18" s="314"/>
      <c r="BC18" s="267">
        <f>SUM(BC16:BC17)</f>
        <v>2254</v>
      </c>
      <c r="BD18" s="319"/>
      <c r="BE18" s="267"/>
      <c r="BF18" s="335">
        <f>SUM(BF16:BF17)</f>
        <v>5071</v>
      </c>
      <c r="BG18" s="336"/>
      <c r="BH18" s="336">
        <f>SUM(BH16:BH17)</f>
        <v>-11544</v>
      </c>
      <c r="BI18" s="336"/>
      <c r="BJ18" s="336">
        <f>SUM(BJ16:BJ17)</f>
        <v>-6473</v>
      </c>
      <c r="BK18" s="337"/>
    </row>
    <row r="19" spans="1:63" ht="12.75" customHeight="1">
      <c r="A19" s="30" t="s">
        <v>347</v>
      </c>
      <c r="B19" s="221">
        <f t="shared" si="7"/>
        <v>-709</v>
      </c>
      <c r="C19" s="299">
        <f>+G19-N19-E19</f>
        <v>-229</v>
      </c>
      <c r="D19" s="301"/>
      <c r="E19" s="299">
        <v>0</v>
      </c>
      <c r="F19" s="221">
        <v>-3041</v>
      </c>
      <c r="G19" s="299">
        <v>-1180</v>
      </c>
      <c r="I19" s="389">
        <v>-534</v>
      </c>
      <c r="J19" s="299">
        <v>33</v>
      </c>
      <c r="K19" s="301"/>
      <c r="L19" s="288">
        <v>0</v>
      </c>
      <c r="M19" s="221">
        <v>-2332</v>
      </c>
      <c r="N19" s="299">
        <v>-951</v>
      </c>
      <c r="O19" s="218"/>
      <c r="P19" s="221">
        <v>-916</v>
      </c>
      <c r="Q19" s="299">
        <v>-455</v>
      </c>
      <c r="R19" s="221"/>
      <c r="S19" s="299">
        <v>0</v>
      </c>
      <c r="T19" s="221">
        <v>-1798</v>
      </c>
      <c r="U19" s="299">
        <v>-984</v>
      </c>
      <c r="V19" s="218"/>
      <c r="W19" s="221">
        <v>-882</v>
      </c>
      <c r="X19" s="299">
        <f>+AB19-Z19</f>
        <v>-529</v>
      </c>
      <c r="Y19" s="221">
        <f>+D19-K19</f>
        <v>0</v>
      </c>
      <c r="Z19" s="299">
        <v>0</v>
      </c>
      <c r="AA19" s="221">
        <v>-882</v>
      </c>
      <c r="AB19" s="299">
        <v>-529</v>
      </c>
      <c r="AC19" s="221"/>
      <c r="AD19" s="320">
        <v>-229.30612244897964</v>
      </c>
      <c r="AE19" s="299"/>
      <c r="AF19" s="299">
        <v>0</v>
      </c>
      <c r="AG19" s="299"/>
      <c r="AH19" s="299">
        <v>-229.30612244897964</v>
      </c>
      <c r="AI19" s="321"/>
      <c r="AJ19" s="314"/>
      <c r="AK19" s="320">
        <f>+AO19-AM19</f>
        <v>33</v>
      </c>
      <c r="AL19" s="299"/>
      <c r="AM19" s="299">
        <v>0</v>
      </c>
      <c r="AN19" s="299"/>
      <c r="AO19" s="299">
        <v>33</v>
      </c>
      <c r="AP19" s="321"/>
      <c r="AQ19" s="314"/>
      <c r="AR19" s="320">
        <f>+AV19-AT19</f>
        <v>-455</v>
      </c>
      <c r="AS19" s="299"/>
      <c r="AT19" s="299">
        <v>0</v>
      </c>
      <c r="AU19" s="299"/>
      <c r="AV19" s="299">
        <f>-984+529</f>
        <v>-455</v>
      </c>
      <c r="AW19" s="321"/>
      <c r="AX19" s="267"/>
      <c r="AY19" s="320">
        <f>+BC19-BA19</f>
        <v>-529</v>
      </c>
      <c r="AZ19" s="299"/>
      <c r="BA19" s="299">
        <v>0</v>
      </c>
      <c r="BB19" s="299"/>
      <c r="BC19" s="299">
        <v>-529</v>
      </c>
      <c r="BD19" s="321"/>
      <c r="BE19" s="267"/>
      <c r="BF19" s="21">
        <f>+AD19+AK19+AR19+AY19</f>
        <v>-1180.3061224489797</v>
      </c>
      <c r="BG19" s="22"/>
      <c r="BH19" s="22">
        <f>+AF19+AM19+AT19+BA19</f>
        <v>0</v>
      </c>
      <c r="BI19" s="22"/>
      <c r="BJ19" s="22">
        <f>+AH19+AO19+AV19+BC19</f>
        <v>-1180.3061224489797</v>
      </c>
      <c r="BK19" s="321"/>
    </row>
    <row r="20" spans="1:63" ht="12.75" customHeight="1">
      <c r="A20" s="30" t="s">
        <v>348</v>
      </c>
      <c r="B20" s="217">
        <f t="shared" ref="B20:G20" si="13">SUM(B18:B19)</f>
        <v>2446</v>
      </c>
      <c r="C20" s="267">
        <f t="shared" si="13"/>
        <v>-35</v>
      </c>
      <c r="D20" s="217">
        <f t="shared" si="13"/>
        <v>0</v>
      </c>
      <c r="E20" s="314">
        <f>SUM(E18:E19)</f>
        <v>1427</v>
      </c>
      <c r="F20" s="217">
        <f t="shared" si="13"/>
        <v>36588</v>
      </c>
      <c r="G20" s="267">
        <f t="shared" si="13"/>
        <v>-7653</v>
      </c>
      <c r="I20" s="217">
        <v>27093</v>
      </c>
      <c r="J20" s="267">
        <v>-592</v>
      </c>
      <c r="K20" s="217">
        <v>0</v>
      </c>
      <c r="L20" s="267">
        <v>-12243</v>
      </c>
      <c r="M20" s="217">
        <v>34142</v>
      </c>
      <c r="N20" s="267">
        <v>-9045</v>
      </c>
      <c r="O20" s="218"/>
      <c r="P20" s="217">
        <v>4270</v>
      </c>
      <c r="Q20" s="267">
        <v>2597</v>
      </c>
      <c r="R20" s="217">
        <v>0</v>
      </c>
      <c r="S20" s="267">
        <v>-532</v>
      </c>
      <c r="T20" s="217">
        <v>7049</v>
      </c>
      <c r="U20" s="267">
        <v>3790</v>
      </c>
      <c r="V20" s="218"/>
      <c r="W20" s="217">
        <f t="shared" ref="W20:AB20" si="14">SUM(W18:W19)</f>
        <v>2779</v>
      </c>
      <c r="X20" s="267">
        <f t="shared" si="14"/>
        <v>1921</v>
      </c>
      <c r="Y20" s="217">
        <f t="shared" si="14"/>
        <v>0</v>
      </c>
      <c r="Z20" s="267">
        <f t="shared" si="14"/>
        <v>-196</v>
      </c>
      <c r="AA20" s="217">
        <f t="shared" si="14"/>
        <v>2779</v>
      </c>
      <c r="AB20" s="267">
        <f t="shared" si="14"/>
        <v>1725</v>
      </c>
      <c r="AC20" s="217"/>
      <c r="AD20" s="13">
        <f>SUM(AD18:AD19)</f>
        <v>-35.306122448979636</v>
      </c>
      <c r="AE20" s="314"/>
      <c r="AF20" s="314">
        <f>SUM(AF18:AF19)</f>
        <v>1427</v>
      </c>
      <c r="AG20" s="314"/>
      <c r="AH20" s="314">
        <f>SUM(AH18:AH19)</f>
        <v>1391.6938775510203</v>
      </c>
      <c r="AI20" s="319"/>
      <c r="AJ20" s="314"/>
      <c r="AK20" s="13">
        <f>SUM(AK18:AK19)</f>
        <v>-592</v>
      </c>
      <c r="AL20" s="314"/>
      <c r="AM20" s="314">
        <f>SUM(AM18:AM19)</f>
        <v>-12243</v>
      </c>
      <c r="AN20" s="314"/>
      <c r="AO20" s="314">
        <f>SUM(AO18:AO19)</f>
        <v>-12835</v>
      </c>
      <c r="AP20" s="319"/>
      <c r="AQ20" s="314"/>
      <c r="AR20" s="13">
        <f>SUM(AR18:AR19)</f>
        <v>2597</v>
      </c>
      <c r="AS20" s="314"/>
      <c r="AT20" s="314">
        <f>SUM(AT18:AT19)</f>
        <v>-532</v>
      </c>
      <c r="AU20" s="314"/>
      <c r="AV20" s="314">
        <f>SUM(AV18:AV19)</f>
        <v>2065</v>
      </c>
      <c r="AW20" s="319"/>
      <c r="AX20" s="267"/>
      <c r="AY20" s="13">
        <f>SUM(AY18:AY19)</f>
        <v>1921</v>
      </c>
      <c r="AZ20" s="314"/>
      <c r="BA20" s="267">
        <f>SUM(BA18:BA19)</f>
        <v>-196</v>
      </c>
      <c r="BB20" s="314"/>
      <c r="BC20" s="267">
        <f>SUM(BC18:BC19)</f>
        <v>1725</v>
      </c>
      <c r="BD20" s="319"/>
      <c r="BE20" s="267"/>
      <c r="BF20" s="335">
        <f>SUM(BF18:BF19)</f>
        <v>3890.6938775510203</v>
      </c>
      <c r="BG20" s="336"/>
      <c r="BH20" s="336">
        <f>SUM(BH18:BH19)</f>
        <v>-11544</v>
      </c>
      <c r="BI20" s="336"/>
      <c r="BJ20" s="336">
        <f>SUM(BJ18:BJ19)</f>
        <v>-7653.3061224489793</v>
      </c>
      <c r="BK20" s="337"/>
    </row>
    <row r="21" spans="1:63" ht="12.75" customHeight="1" thickBot="1">
      <c r="A21" s="25"/>
      <c r="B21" s="223"/>
      <c r="C21" s="302"/>
      <c r="D21" s="223"/>
      <c r="E21" s="223"/>
      <c r="F21" s="223"/>
      <c r="G21" s="302"/>
      <c r="I21" s="223"/>
      <c r="J21" s="302"/>
      <c r="K21" s="223"/>
      <c r="L21" s="223"/>
      <c r="M21" s="223"/>
      <c r="N21" s="302"/>
      <c r="O21" s="218"/>
      <c r="P21" s="223"/>
      <c r="Q21" s="302"/>
      <c r="R21" s="223"/>
      <c r="S21" s="302"/>
      <c r="T21" s="223"/>
      <c r="U21" s="302"/>
      <c r="V21" s="218"/>
      <c r="W21" s="223"/>
      <c r="X21" s="302"/>
      <c r="Y21" s="223"/>
      <c r="Z21" s="302"/>
      <c r="AA21" s="223"/>
      <c r="AB21" s="302"/>
      <c r="AC21" s="218"/>
      <c r="AD21" s="320"/>
      <c r="AE21" s="299"/>
      <c r="AF21" s="299"/>
      <c r="AG21" s="299"/>
      <c r="AH21" s="299"/>
      <c r="AI21" s="319"/>
      <c r="AJ21" s="314"/>
      <c r="AK21" s="320"/>
      <c r="AL21" s="299"/>
      <c r="AM21" s="299"/>
      <c r="AN21" s="299"/>
      <c r="AO21" s="299"/>
      <c r="AP21" s="319"/>
      <c r="AQ21" s="314"/>
      <c r="AR21" s="320"/>
      <c r="AS21" s="299"/>
      <c r="AT21" s="299"/>
      <c r="AU21" s="299"/>
      <c r="AV21" s="299"/>
      <c r="AW21" s="319"/>
      <c r="AX21" s="267"/>
      <c r="AY21" s="326"/>
      <c r="AZ21" s="327"/>
      <c r="BA21" s="327"/>
      <c r="BB21" s="327"/>
      <c r="BC21" s="327"/>
      <c r="BD21" s="328"/>
      <c r="BE21" s="267"/>
      <c r="BF21" s="320"/>
      <c r="BG21" s="299"/>
      <c r="BH21" s="299"/>
      <c r="BI21" s="299"/>
      <c r="BJ21" s="299"/>
      <c r="BK21" s="321"/>
    </row>
    <row r="22" spans="1:63" ht="12.75" customHeight="1">
      <c r="B22" s="217"/>
      <c r="C22" s="182"/>
      <c r="D22" s="182"/>
      <c r="E22" s="182"/>
      <c r="F22" s="217"/>
      <c r="G22" s="267"/>
      <c r="I22" s="217"/>
      <c r="J22" s="182"/>
      <c r="M22" s="217"/>
      <c r="N22" s="267"/>
      <c r="O22" s="116"/>
      <c r="P22" s="217"/>
      <c r="Q22" s="267"/>
      <c r="T22" s="217"/>
      <c r="U22" s="267"/>
      <c r="V22" s="116"/>
      <c r="W22" s="217"/>
      <c r="X22" s="267"/>
      <c r="AA22" s="217"/>
      <c r="AB22" s="267"/>
      <c r="AD22" s="13"/>
      <c r="AE22" s="314"/>
      <c r="AF22" s="314"/>
      <c r="AG22" s="314"/>
      <c r="AH22" s="314"/>
      <c r="AI22" s="319"/>
      <c r="AJ22" s="314"/>
      <c r="AK22" s="13"/>
      <c r="AL22" s="314"/>
      <c r="AM22" s="314"/>
      <c r="AN22" s="314"/>
      <c r="AO22" s="314"/>
      <c r="AP22" s="319"/>
      <c r="AQ22" s="314"/>
      <c r="AR22" s="13"/>
      <c r="AS22" s="314"/>
      <c r="AT22" s="314"/>
      <c r="AU22" s="314"/>
      <c r="AV22" s="314"/>
      <c r="AW22" s="319"/>
      <c r="AX22" s="267"/>
      <c r="AY22" s="13"/>
      <c r="AZ22" s="314"/>
      <c r="BA22" s="314"/>
      <c r="BB22" s="314"/>
      <c r="BC22" s="267"/>
      <c r="BD22" s="319"/>
      <c r="BE22" s="267"/>
      <c r="BF22" s="13"/>
      <c r="BG22" s="314"/>
      <c r="BH22" s="314"/>
      <c r="BI22" s="314"/>
      <c r="BJ22" s="314"/>
      <c r="BK22" s="319"/>
    </row>
    <row r="23" spans="1:63" ht="12.75" customHeight="1">
      <c r="A23" t="s">
        <v>549</v>
      </c>
      <c r="B23" s="218">
        <f>+F23-W23-P23-I23</f>
        <v>1303</v>
      </c>
      <c r="C23" s="314">
        <f>+G23-X23-Q23-J23</f>
        <v>821</v>
      </c>
      <c r="D23" s="182"/>
      <c r="E23" s="182"/>
      <c r="F23" s="217">
        <f>1542+1442+(899+468)+1303</f>
        <v>5654</v>
      </c>
      <c r="G23" s="267">
        <f>1014+1105+733+821</f>
        <v>3673</v>
      </c>
      <c r="I23" s="217">
        <v>1367</v>
      </c>
      <c r="J23" s="314">
        <v>733</v>
      </c>
      <c r="K23" s="182"/>
      <c r="M23" s="217">
        <f>3883+468</f>
        <v>4351</v>
      </c>
      <c r="N23" s="267">
        <v>2852</v>
      </c>
      <c r="O23" s="116"/>
      <c r="P23" s="217">
        <v>1442</v>
      </c>
      <c r="Q23" s="267">
        <v>1105</v>
      </c>
      <c r="T23" s="217">
        <v>2984</v>
      </c>
      <c r="U23" s="267">
        <v>2119</v>
      </c>
      <c r="V23" s="116"/>
      <c r="W23" s="217">
        <v>1542</v>
      </c>
      <c r="X23" s="267">
        <v>1014</v>
      </c>
      <c r="AA23" s="217">
        <v>1542</v>
      </c>
      <c r="AB23" s="267">
        <v>1014</v>
      </c>
      <c r="AD23" s="320">
        <v>821</v>
      </c>
      <c r="AE23" s="299"/>
      <c r="AF23" s="299"/>
      <c r="AG23" s="299"/>
      <c r="AH23" s="299">
        <v>821</v>
      </c>
      <c r="AI23" s="321"/>
      <c r="AJ23" s="314"/>
      <c r="AK23" s="320">
        <v>733</v>
      </c>
      <c r="AL23" s="299"/>
      <c r="AM23" s="299"/>
      <c r="AN23" s="299"/>
      <c r="AO23" s="299">
        <v>733</v>
      </c>
      <c r="AP23" s="321"/>
      <c r="AQ23" s="314"/>
      <c r="AR23" s="320">
        <v>1105</v>
      </c>
      <c r="AS23" s="299"/>
      <c r="AT23" s="299"/>
      <c r="AU23" s="299"/>
      <c r="AV23" s="299">
        <v>1105</v>
      </c>
      <c r="AW23" s="321"/>
      <c r="AX23" s="267"/>
      <c r="AY23" s="320">
        <v>1105</v>
      </c>
      <c r="AZ23" s="299"/>
      <c r="BA23" s="299"/>
      <c r="BB23" s="299"/>
      <c r="BC23" s="299">
        <v>1014</v>
      </c>
      <c r="BD23" s="321"/>
      <c r="BE23" s="267"/>
      <c r="BF23" s="21">
        <f>+AD23+AK23+AR23+AY23</f>
        <v>3764</v>
      </c>
      <c r="BG23" s="22"/>
      <c r="BH23" s="22">
        <f>+AF23+AM23+AT23+BA23</f>
        <v>0</v>
      </c>
      <c r="BI23" s="22"/>
      <c r="BJ23" s="22">
        <f>+AH23+AO23+AV23+BC23</f>
        <v>3673</v>
      </c>
      <c r="BK23" s="321"/>
    </row>
    <row r="24" spans="1:63" ht="12.75" customHeight="1">
      <c r="K24" s="182"/>
      <c r="O24" s="116"/>
      <c r="P24" s="116"/>
      <c r="Q24" s="116"/>
      <c r="R24" s="116"/>
      <c r="S24" s="116"/>
      <c r="T24" s="116"/>
      <c r="U24" s="116"/>
      <c r="V24" s="116"/>
    </row>
    <row r="25" spans="1:63" ht="12.75" customHeight="1"/>
    <row r="26" spans="1:63" ht="12.75" hidden="1" customHeight="1">
      <c r="B26" s="294" t="s">
        <v>528</v>
      </c>
      <c r="C26" s="295"/>
      <c r="D26" s="294" t="s">
        <v>529</v>
      </c>
      <c r="E26" s="295"/>
      <c r="F26" s="294" t="s">
        <v>530</v>
      </c>
      <c r="G26" s="295"/>
    </row>
    <row r="27" spans="1:63" ht="12.75" hidden="1" customHeight="1">
      <c r="B27" s="296" t="s">
        <v>332</v>
      </c>
      <c r="C27" s="297"/>
      <c r="D27" s="296" t="s">
        <v>332</v>
      </c>
      <c r="E27" s="297"/>
      <c r="F27" s="296" t="s">
        <v>332</v>
      </c>
      <c r="G27" s="297"/>
    </row>
    <row r="28" spans="1:63" ht="12.75" hidden="1" customHeight="1">
      <c r="B28" s="206">
        <v>2003</v>
      </c>
      <c r="C28" s="209">
        <v>2002</v>
      </c>
      <c r="D28" s="206">
        <v>2003</v>
      </c>
      <c r="E28" s="209">
        <v>2002</v>
      </c>
      <c r="F28" s="206">
        <v>2003</v>
      </c>
      <c r="G28" s="209">
        <v>2002</v>
      </c>
    </row>
    <row r="29" spans="1:63" ht="12.75" hidden="1" customHeight="1" thickBot="1">
      <c r="A29" s="298" t="s">
        <v>533</v>
      </c>
      <c r="B29" s="211" t="s">
        <v>329</v>
      </c>
      <c r="C29" s="213" t="s">
        <v>329</v>
      </c>
      <c r="D29" s="211" t="s">
        <v>329</v>
      </c>
      <c r="E29" s="213" t="s">
        <v>329</v>
      </c>
      <c r="F29" s="211" t="s">
        <v>329</v>
      </c>
      <c r="G29" s="213" t="s">
        <v>329</v>
      </c>
    </row>
    <row r="30" spans="1:63" ht="12.75" hidden="1" customHeight="1"/>
    <row r="31" spans="1:63" ht="12.75" hidden="1" customHeight="1">
      <c r="A31" s="30" t="s">
        <v>384</v>
      </c>
      <c r="B31" s="220">
        <f t="shared" ref="B31:C33" si="15">+F31-D31</f>
        <v>10673</v>
      </c>
      <c r="C31" s="278">
        <f t="shared" si="15"/>
        <v>14704</v>
      </c>
      <c r="D31" s="217">
        <v>1019</v>
      </c>
      <c r="E31" s="303">
        <v>31</v>
      </c>
      <c r="F31" s="220">
        <f>+'[8]KLSE cashflow'!B15</f>
        <v>11692</v>
      </c>
      <c r="G31" s="278">
        <v>14735</v>
      </c>
    </row>
    <row r="32" spans="1:63" ht="12.75" hidden="1" customHeight="1">
      <c r="A32" s="30" t="s">
        <v>391</v>
      </c>
      <c r="B32" s="220">
        <f t="shared" si="15"/>
        <v>-3686</v>
      </c>
      <c r="C32" s="278">
        <f t="shared" si="15"/>
        <v>-3267</v>
      </c>
      <c r="D32" s="304">
        <f>-1021</f>
        <v>-1021</v>
      </c>
      <c r="E32" s="303">
        <v>-1078</v>
      </c>
      <c r="F32" s="220">
        <f>+'[8]KLSE cashflow'!B24-8000</f>
        <v>-4707</v>
      </c>
      <c r="G32" s="278">
        <v>-4345</v>
      </c>
    </row>
    <row r="33" spans="1:9" ht="12.75" hidden="1" customHeight="1">
      <c r="A33" s="30" t="s">
        <v>397</v>
      </c>
      <c r="B33" s="220">
        <f t="shared" si="15"/>
        <v>-9498</v>
      </c>
      <c r="C33" s="278">
        <f t="shared" si="15"/>
        <v>-13174</v>
      </c>
      <c r="D33" s="217"/>
      <c r="E33" s="303"/>
      <c r="F33" s="220">
        <f>-9498</f>
        <v>-9498</v>
      </c>
      <c r="G33" s="278">
        <v>-13174</v>
      </c>
    </row>
    <row r="34" spans="1:9" ht="12.75" hidden="1" customHeight="1">
      <c r="A34" s="30" t="s">
        <v>534</v>
      </c>
      <c r="B34" s="220">
        <f>+F34-D34</f>
        <v>0</v>
      </c>
      <c r="C34" s="278"/>
      <c r="D34" s="217">
        <v>8000</v>
      </c>
      <c r="E34" s="303"/>
      <c r="F34" s="220">
        <v>8000</v>
      </c>
      <c r="G34" s="278"/>
    </row>
    <row r="35" spans="1:9" ht="12.75" hidden="1" customHeight="1">
      <c r="A35" s="30" t="s">
        <v>535</v>
      </c>
      <c r="B35" s="237">
        <f>SUM(B31:B34)</f>
        <v>-2511</v>
      </c>
      <c r="C35" s="305">
        <f>SUM(C31:C34)</f>
        <v>-1737</v>
      </c>
      <c r="D35" s="237">
        <f>SUM(D31:D34)</f>
        <v>7998</v>
      </c>
      <c r="E35" s="306">
        <f>SUM(E31:E33)</f>
        <v>-1047</v>
      </c>
      <c r="F35" s="237">
        <f>SUM(F31:F34)</f>
        <v>5487</v>
      </c>
      <c r="G35" s="305">
        <f>SUM(G31:G33)</f>
        <v>-2784</v>
      </c>
    </row>
    <row r="36" spans="1:9" ht="12.75" hidden="1" customHeight="1">
      <c r="A36" s="25"/>
      <c r="B36" s="219"/>
      <c r="C36" s="217"/>
      <c r="F36" s="219"/>
      <c r="G36" s="217"/>
    </row>
    <row r="37" spans="1:9" ht="12.75" hidden="1" customHeight="1"/>
    <row r="38" spans="1:9" ht="12.75" hidden="1" customHeight="1">
      <c r="B38" s="294" t="s">
        <v>528</v>
      </c>
      <c r="C38" s="295"/>
      <c r="D38" s="294" t="s">
        <v>529</v>
      </c>
      <c r="E38" s="295"/>
      <c r="F38" s="294" t="s">
        <v>530</v>
      </c>
      <c r="G38" s="295"/>
    </row>
    <row r="39" spans="1:9" ht="12.75" hidden="1" customHeight="1">
      <c r="A39" s="226"/>
      <c r="B39" s="206" t="s">
        <v>353</v>
      </c>
      <c r="C39" s="209" t="s">
        <v>353</v>
      </c>
      <c r="D39" s="206" t="s">
        <v>353</v>
      </c>
      <c r="E39" s="209" t="s">
        <v>353</v>
      </c>
      <c r="F39" s="206" t="s">
        <v>353</v>
      </c>
      <c r="G39" s="209" t="s">
        <v>353</v>
      </c>
    </row>
    <row r="40" spans="1:9" ht="12.75" hidden="1" customHeight="1">
      <c r="A40" s="226"/>
      <c r="B40" s="206" t="s">
        <v>328</v>
      </c>
      <c r="C40" s="209" t="s">
        <v>356</v>
      </c>
      <c r="D40" s="206" t="s">
        <v>328</v>
      </c>
      <c r="E40" s="209" t="s">
        <v>356</v>
      </c>
      <c r="F40" s="206" t="s">
        <v>328</v>
      </c>
      <c r="G40" s="209" t="s">
        <v>356</v>
      </c>
    </row>
    <row r="41" spans="1:9" ht="12.75" hidden="1" customHeight="1">
      <c r="A41" s="25"/>
      <c r="B41" s="307">
        <v>37986</v>
      </c>
      <c r="C41" s="308">
        <v>37621</v>
      </c>
      <c r="D41" s="307">
        <v>37986</v>
      </c>
      <c r="E41" s="308">
        <v>37621</v>
      </c>
      <c r="F41" s="307">
        <v>37986</v>
      </c>
      <c r="G41" s="308">
        <v>37621</v>
      </c>
    </row>
    <row r="42" spans="1:9" ht="12.75" hidden="1" customHeight="1" thickBot="1">
      <c r="A42" s="309" t="s">
        <v>536</v>
      </c>
      <c r="B42" s="310" t="s">
        <v>329</v>
      </c>
      <c r="C42" s="311" t="s">
        <v>329</v>
      </c>
      <c r="D42" s="310" t="s">
        <v>329</v>
      </c>
      <c r="E42" s="311" t="s">
        <v>329</v>
      </c>
      <c r="F42" s="310" t="s">
        <v>329</v>
      </c>
      <c r="G42" s="311" t="s">
        <v>329</v>
      </c>
    </row>
    <row r="43" spans="1:9" ht="12.75" hidden="1" customHeight="1"/>
    <row r="44" spans="1:9" ht="12.75" hidden="1" customHeight="1">
      <c r="A44" s="30" t="s">
        <v>357</v>
      </c>
      <c r="B44" s="230">
        <f>+F44-D44</f>
        <v>144966</v>
      </c>
      <c r="C44" s="312">
        <f>+G44-E44</f>
        <v>152317</v>
      </c>
      <c r="D44" s="217"/>
      <c r="E44" s="81">
        <v>18817</v>
      </c>
      <c r="F44" s="47">
        <f>+'[8]KLSE Balance Sheet'!C12</f>
        <v>144966</v>
      </c>
      <c r="G44" s="81">
        <v>171134</v>
      </c>
      <c r="I44">
        <v>144966</v>
      </c>
    </row>
    <row r="45" spans="1:9" ht="12.75" hidden="1" customHeight="1">
      <c r="A45" s="30" t="s">
        <v>359</v>
      </c>
      <c r="B45" s="230">
        <f>+F45-D45</f>
        <v>116645</v>
      </c>
      <c r="C45" s="312">
        <f>+G45-E45</f>
        <v>93543</v>
      </c>
      <c r="D45" s="230"/>
      <c r="E45" s="312">
        <v>16162</v>
      </c>
      <c r="F45" s="230">
        <f>+'[8]KLSE Balance Sheet'!C19</f>
        <v>116645</v>
      </c>
      <c r="G45" s="312">
        <v>109705</v>
      </c>
      <c r="I45" s="82">
        <f>+I44-F44</f>
        <v>0</v>
      </c>
    </row>
    <row r="46" spans="1:9" ht="12.75" hidden="1" customHeight="1">
      <c r="A46" s="30" t="s">
        <v>537</v>
      </c>
      <c r="B46" s="229">
        <f>+B44+B45</f>
        <v>261611</v>
      </c>
      <c r="C46" s="313">
        <f>+C44+C45</f>
        <v>245860</v>
      </c>
      <c r="D46" s="229"/>
      <c r="E46" s="313">
        <f>+E44+E45</f>
        <v>34979</v>
      </c>
      <c r="F46" s="229">
        <f>+F44+F45</f>
        <v>261611</v>
      </c>
      <c r="G46" s="313">
        <f>+G44+G45</f>
        <v>280839</v>
      </c>
    </row>
    <row r="47" spans="1:9" ht="12.75" hidden="1" customHeight="1">
      <c r="A47" s="30" t="s">
        <v>538</v>
      </c>
      <c r="B47" s="218">
        <f>+F47-D47</f>
        <v>-33726</v>
      </c>
      <c r="C47" s="314">
        <f>+G47-E47</f>
        <v>-16836</v>
      </c>
      <c r="D47" s="218"/>
      <c r="E47" s="314">
        <v>-21274</v>
      </c>
      <c r="F47" s="218">
        <f>-+'[8]KLSE Balance Sheet'!C25</f>
        <v>-33726</v>
      </c>
      <c r="G47" s="314">
        <v>-38110</v>
      </c>
    </row>
    <row r="48" spans="1:9" ht="12.75" hidden="1" customHeight="1">
      <c r="A48" s="30" t="s">
        <v>539</v>
      </c>
      <c r="B48" s="218">
        <f>+F48-D48</f>
        <v>-24314</v>
      </c>
      <c r="C48" s="314">
        <f>+G48-E48</f>
        <v>-26282</v>
      </c>
      <c r="D48" s="221"/>
      <c r="E48" s="299">
        <v>0</v>
      </c>
      <c r="F48" s="218">
        <f>+-'[8]KLSE Balance Sheet'!C34</f>
        <v>-24314</v>
      </c>
      <c r="G48" s="314">
        <v>-26282</v>
      </c>
      <c r="I48">
        <v>24314</v>
      </c>
    </row>
    <row r="49" spans="1:9" ht="12.75" hidden="1" customHeight="1">
      <c r="A49" s="30" t="s">
        <v>540</v>
      </c>
      <c r="B49" s="238">
        <f>+B47+B48</f>
        <v>-58040</v>
      </c>
      <c r="C49" s="266">
        <f>+C47+C48</f>
        <v>-43118</v>
      </c>
      <c r="D49" s="238"/>
      <c r="E49" s="266">
        <f>+E47+E48</f>
        <v>-21274</v>
      </c>
      <c r="F49" s="238">
        <f>+F47+F48</f>
        <v>-58040</v>
      </c>
      <c r="G49" s="266">
        <f>+G47+G48</f>
        <v>-64392</v>
      </c>
      <c r="I49" s="182">
        <f>+F48+I48</f>
        <v>0</v>
      </c>
    </row>
    <row r="50" spans="1:9" ht="12.75" hidden="1" customHeight="1">
      <c r="A50" s="30" t="s">
        <v>541</v>
      </c>
      <c r="B50" s="238">
        <f>+B46+B49</f>
        <v>203571</v>
      </c>
      <c r="C50" s="266">
        <f>+C46+C49</f>
        <v>202742</v>
      </c>
      <c r="D50" s="238"/>
      <c r="E50" s="266">
        <f>+E46+E49</f>
        <v>13705</v>
      </c>
      <c r="F50" s="238">
        <f>+F46+F49</f>
        <v>203571</v>
      </c>
      <c r="G50" s="266">
        <f>+G46+G49</f>
        <v>216447</v>
      </c>
    </row>
    <row r="51" spans="1:9" ht="12.75" hidden="1" customHeight="1">
      <c r="B51" s="47"/>
      <c r="D51" s="47"/>
      <c r="F51" s="47"/>
      <c r="G51" s="47"/>
    </row>
    <row r="52" spans="1:9" ht="12.75" customHeight="1">
      <c r="F52" s="182"/>
      <c r="G52" s="182"/>
    </row>
    <row r="53" spans="1:9" ht="12.75" customHeight="1">
      <c r="A53" s="25" t="s">
        <v>527</v>
      </c>
      <c r="F53" s="182"/>
      <c r="G53" s="182"/>
    </row>
    <row r="54" spans="1:9" ht="12.75" customHeight="1">
      <c r="B54" s="25"/>
      <c r="C54" s="251" t="s">
        <v>542</v>
      </c>
      <c r="D54" s="25"/>
      <c r="F54" s="182"/>
      <c r="G54" s="182"/>
    </row>
    <row r="55" spans="1:9" ht="12.75" customHeight="1">
      <c r="B55" s="251" t="s">
        <v>330</v>
      </c>
      <c r="C55" s="251" t="s">
        <v>545</v>
      </c>
      <c r="D55" s="251" t="s">
        <v>543</v>
      </c>
    </row>
    <row r="56" spans="1:9" ht="12.75" customHeight="1">
      <c r="B56" s="251" t="s">
        <v>329</v>
      </c>
      <c r="C56" s="251" t="s">
        <v>329</v>
      </c>
      <c r="D56" s="251" t="s">
        <v>329</v>
      </c>
    </row>
    <row r="57" spans="1:9" ht="12.75" customHeight="1">
      <c r="A57" s="201" t="s">
        <v>592</v>
      </c>
    </row>
    <row r="58" spans="1:9" ht="12.75" customHeight="1">
      <c r="A58" s="38" t="s">
        <v>528</v>
      </c>
      <c r="B58" s="182">
        <f>+B10</f>
        <v>66046</v>
      </c>
      <c r="C58" s="182">
        <f>+B16</f>
        <v>3850</v>
      </c>
      <c r="D58" s="182">
        <f>+B20</f>
        <v>2446</v>
      </c>
      <c r="H58" s="26"/>
    </row>
    <row r="59" spans="1:9" ht="12.75" customHeight="1">
      <c r="A59" s="38" t="s">
        <v>529</v>
      </c>
      <c r="B59" s="182">
        <v>0</v>
      </c>
      <c r="C59" s="182">
        <v>0</v>
      </c>
      <c r="D59" s="182">
        <v>0</v>
      </c>
      <c r="F59" s="116"/>
      <c r="G59" s="116"/>
      <c r="H59" s="244"/>
    </row>
    <row r="60" spans="1:9" ht="12.75" customHeight="1">
      <c r="B60" s="315">
        <f>+B58+B59</f>
        <v>66046</v>
      </c>
      <c r="C60" s="315">
        <f>+C58+C59</f>
        <v>3850</v>
      </c>
      <c r="D60" s="315">
        <f>+D58+D59</f>
        <v>2446</v>
      </c>
      <c r="F60" s="116"/>
      <c r="G60" s="116"/>
      <c r="H60" s="244"/>
    </row>
    <row r="61" spans="1:9" ht="12.75" customHeight="1">
      <c r="B61" s="182"/>
      <c r="C61" s="182"/>
      <c r="D61" s="182"/>
      <c r="F61" s="116"/>
      <c r="G61" s="116"/>
      <c r="H61" s="116"/>
    </row>
    <row r="62" spans="1:9" ht="12.75" customHeight="1">
      <c r="A62" s="201" t="s">
        <v>595</v>
      </c>
      <c r="B62" s="182"/>
      <c r="C62" s="182"/>
      <c r="D62" s="182"/>
    </row>
    <row r="63" spans="1:9" ht="12.75" customHeight="1">
      <c r="A63" s="38" t="s">
        <v>528</v>
      </c>
      <c r="B63" s="182">
        <f>C10</f>
        <v>53048</v>
      </c>
      <c r="C63" s="182">
        <f>C16</f>
        <v>779</v>
      </c>
      <c r="D63" s="182">
        <f>C20</f>
        <v>-35</v>
      </c>
    </row>
    <row r="64" spans="1:9" ht="12.75" customHeight="1">
      <c r="A64" s="38" t="s">
        <v>529</v>
      </c>
      <c r="B64" s="182">
        <f>+E10</f>
        <v>10267</v>
      </c>
      <c r="C64" s="182">
        <f>+E16</f>
        <v>1427</v>
      </c>
      <c r="D64" s="182">
        <f>+E20</f>
        <v>1427</v>
      </c>
    </row>
    <row r="65" spans="1:4" ht="12.75" customHeight="1">
      <c r="B65" s="315">
        <f>B63+B64</f>
        <v>63315</v>
      </c>
      <c r="C65" s="315">
        <f>C63+C64</f>
        <v>2206</v>
      </c>
      <c r="D65" s="315">
        <f>D63+D64</f>
        <v>1392</v>
      </c>
    </row>
    <row r="66" spans="1:4" ht="12.75" customHeight="1">
      <c r="B66" s="182"/>
      <c r="C66" s="182"/>
      <c r="D66" s="182"/>
    </row>
    <row r="67" spans="1:4" ht="12.75" customHeight="1">
      <c r="B67" s="182"/>
      <c r="C67" s="182"/>
      <c r="D67" s="182"/>
    </row>
    <row r="68" spans="1:4" ht="12.75" customHeight="1">
      <c r="A68" s="201" t="s">
        <v>593</v>
      </c>
      <c r="B68" s="182"/>
      <c r="C68" s="182"/>
      <c r="D68" s="182"/>
    </row>
    <row r="69" spans="1:4" ht="12.75" customHeight="1">
      <c r="A69" s="38" t="s">
        <v>528</v>
      </c>
      <c r="B69" s="182">
        <f>+F10</f>
        <v>276128</v>
      </c>
      <c r="C69" s="182">
        <f>+F16</f>
        <v>43648</v>
      </c>
      <c r="D69" s="182">
        <f>+F20</f>
        <v>36588</v>
      </c>
    </row>
    <row r="70" spans="1:4" ht="12.75" customHeight="1">
      <c r="A70" s="38" t="s">
        <v>529</v>
      </c>
      <c r="B70" s="182">
        <v>0</v>
      </c>
      <c r="C70" s="182">
        <v>0</v>
      </c>
      <c r="D70" s="182">
        <v>0</v>
      </c>
    </row>
    <row r="71" spans="1:4" ht="12.75" customHeight="1">
      <c r="B71" s="315">
        <f>+B69+B70</f>
        <v>276128</v>
      </c>
      <c r="C71" s="315">
        <f>+C69+C70</f>
        <v>43648</v>
      </c>
      <c r="D71" s="315">
        <f>+D69+D70</f>
        <v>36588</v>
      </c>
    </row>
    <row r="72" spans="1:4" ht="12.75" customHeight="1">
      <c r="B72" s="182"/>
      <c r="C72" s="182"/>
      <c r="D72" s="182"/>
    </row>
    <row r="73" spans="1:4" ht="12.75" customHeight="1">
      <c r="A73" s="201" t="s">
        <v>594</v>
      </c>
      <c r="B73" s="182"/>
      <c r="C73" s="182"/>
      <c r="D73" s="182"/>
    </row>
    <row r="74" spans="1:4" ht="12.75" customHeight="1">
      <c r="A74" s="38" t="s">
        <v>528</v>
      </c>
      <c r="B74" s="182">
        <f>+C10+J10+Q10+X10</f>
        <v>219818</v>
      </c>
      <c r="C74" s="182">
        <f>+C16+J16+Q16+X16</f>
        <v>7032</v>
      </c>
      <c r="D74" s="182">
        <f>+C20+J20+Q20+X20</f>
        <v>3891</v>
      </c>
    </row>
    <row r="75" spans="1:4" ht="12.75" customHeight="1">
      <c r="A75" s="38" t="s">
        <v>529</v>
      </c>
      <c r="B75" s="182">
        <f>+E10+L10+S10+Z10</f>
        <v>44039</v>
      </c>
      <c r="C75" s="182">
        <f>+E16+L16+S16+Z16</f>
        <v>-11544</v>
      </c>
      <c r="D75" s="182">
        <f>+E20+L20+S20+Z20</f>
        <v>-11544</v>
      </c>
    </row>
    <row r="76" spans="1:4" ht="12.75" customHeight="1">
      <c r="B76" s="315">
        <f>B74+B75</f>
        <v>263857</v>
      </c>
      <c r="C76" s="315">
        <f>C74+C75</f>
        <v>-4512</v>
      </c>
      <c r="D76" s="315">
        <f>D74+D75</f>
        <v>-7653</v>
      </c>
    </row>
    <row r="77" spans="1:4">
      <c r="B77" s="182"/>
    </row>
    <row r="78" spans="1:4">
      <c r="B78" s="182">
        <f>G10</f>
        <v>263857</v>
      </c>
      <c r="C78" s="182">
        <f>G16</f>
        <v>-4512</v>
      </c>
      <c r="D78" s="182">
        <f>G20</f>
        <v>-7653</v>
      </c>
    </row>
  </sheetData>
  <phoneticPr fontId="0" type="noConversion"/>
  <pageMargins left="0.27" right="0.26" top="0.55000000000000004" bottom="0.63" header="0.27" footer="0.37"/>
  <pageSetup scale="36" orientation="landscape" blackAndWhite="1" horizontalDpi="1200" verticalDpi="1200" r:id="rId1"/>
  <headerFooter alignWithMargins="0">
    <oddFooter>&amp;L&amp;D&amp;F&amp;A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SCI</vt:lpstr>
      <vt:lpstr>SOFP</vt:lpstr>
      <vt:lpstr>Statement of Changes in Equity</vt:lpstr>
      <vt:lpstr>Statement of Cash Flows</vt:lpstr>
      <vt:lpstr>ESOS movement</vt:lpstr>
      <vt:lpstr>conP&amp;L</vt:lpstr>
      <vt:lpstr>coated scrap sale</vt:lpstr>
      <vt:lpstr>Cont&amp;disconOp2003</vt:lpstr>
      <vt:lpstr>Disc ope </vt:lpstr>
      <vt:lpstr>CashFlow workingsDec 03</vt:lpstr>
      <vt:lpstr>shipment</vt:lpstr>
      <vt:lpstr>otherRev&amp;income&amp;FinCost</vt:lpstr>
      <vt:lpstr>ANSC-TB</vt:lpstr>
      <vt:lpstr>ANSC-BalSht0611</vt:lpstr>
      <vt:lpstr>Alcom-TB</vt:lpstr>
      <vt:lpstr>alcom-BalSht0611</vt:lpstr>
      <vt:lpstr>GroupBS</vt:lpstr>
      <vt:lpstr>Alcom</vt:lpstr>
      <vt:lpstr>ANSC</vt:lpstr>
      <vt:lpstr>ANRE0610</vt:lpstr>
      <vt:lpstr>Table</vt:lpstr>
      <vt:lpstr>Sheet1</vt:lpstr>
      <vt:lpstr>date</vt:lpstr>
      <vt:lpstr>'alcom-BalSht0611'!Print_Area</vt:lpstr>
      <vt:lpstr>ANRE0610!Print_Area</vt:lpstr>
      <vt:lpstr>'ANSC-BalSht0611'!Print_Area</vt:lpstr>
      <vt:lpstr>'ANSC-TB'!Print_Area</vt:lpstr>
      <vt:lpstr>'CashFlow workingsDec 03'!Print_Area</vt:lpstr>
      <vt:lpstr>'coated scrap sale'!Print_Area</vt:lpstr>
      <vt:lpstr>'conP&amp;L'!Print_Area</vt:lpstr>
      <vt:lpstr>'Cont&amp;disconOp2003'!Print_Area</vt:lpstr>
      <vt:lpstr>'Disc ope '!Print_Area</vt:lpstr>
      <vt:lpstr>GroupBS!Print_Area</vt:lpstr>
      <vt:lpstr>'otherRev&amp;income&amp;FinCost'!Print_Area</vt:lpstr>
      <vt:lpstr>shipment!Print_Area</vt:lpstr>
      <vt:lpstr>SOFP!Print_Area</vt:lpstr>
      <vt:lpstr>'Statement of Cash Flows'!Print_Area</vt:lpstr>
      <vt:lpstr>'Statement of Changes in Equity'!Print_Area</vt:lpstr>
      <vt:lpstr>ANRE0610!Print_Area_MI</vt:lpstr>
      <vt:lpstr>'Alcom-TB'!Print_Titles</vt:lpstr>
      <vt:lpstr>'ANSC-TB'!Print_Titles</vt:lpstr>
      <vt:lpstr>'conP&amp;L'!Print_Titles</vt:lpstr>
      <vt:lpstr>'otherRev&amp;income&amp;FinCost'!Print_Titles</vt:lpstr>
      <vt:lpstr>SCI!Print_Titles</vt:lpstr>
    </vt:vector>
  </TitlesOfParts>
  <Company>Aluminium Company of Malaysia Bhd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alcheng</dc:creator>
  <cp:lastModifiedBy>AhmadrafieN</cp:lastModifiedBy>
  <cp:lastPrinted>2011-11-30T09:11:42Z</cp:lastPrinted>
  <dcterms:created xsi:type="dcterms:W3CDTF">2004-05-05T03:54:38Z</dcterms:created>
  <dcterms:modified xsi:type="dcterms:W3CDTF">2011-11-30T10:23:49Z</dcterms:modified>
</cp:coreProperties>
</file>